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yuuto\Downloads\"/>
    </mc:Choice>
  </mc:AlternateContent>
  <xr:revisionPtr revIDLastSave="0" documentId="8_{2A273909-EBE2-4F5A-9BB7-FC5DBD3F3D4B}" xr6:coauthVersionLast="47" xr6:coauthVersionMax="47" xr10:uidLastSave="{00000000-0000-0000-0000-000000000000}"/>
  <bookViews>
    <workbookView xWindow="-120" yWindow="-120" windowWidth="29040" windowHeight="15840" activeTab="1" xr2:uid="{00000000-000D-0000-FFFF-FFFF00000000}"/>
  </bookViews>
  <sheets>
    <sheet name="変更履歴" sheetId="4" r:id="rId1"/>
    <sheet name="前提" sheetId="2" r:id="rId2"/>
    <sheet name="判定" sheetId="1" r:id="rId3"/>
    <sheet name="判定_個人白色" sheetId="5" r:id="rId4"/>
  </sheets>
  <definedNames>
    <definedName name="_xlnm.Print_Area" localSheetId="2">判定!$A$1:$L$65</definedName>
    <definedName name="_xlnm.Print_Area" localSheetId="3">判定_個人白色!$A$1:$L$65</definedName>
    <definedName name="年月1" localSheetId="3">判定_個人白色!#REF!</definedName>
    <definedName name="年月1">判定!#REF!</definedName>
    <definedName name="年月11" localSheetId="3">判定_個人白色!#REF!</definedName>
    <definedName name="年月11">判定!#REF!</definedName>
    <definedName name="年月12" localSheetId="3">判定_個人白色!#REF!</definedName>
    <definedName name="年月12">判定!#REF!</definedName>
    <definedName name="年月2" localSheetId="3">判定_個人白色!#REF!</definedName>
    <definedName name="年月2">判定!#REF!</definedName>
    <definedName name="年月3" localSheetId="3">判定_個人白色!#REF!</definedName>
    <definedName name="年月3">判定!#REF!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3" i="1" l="1"/>
  <c r="C64" i="1"/>
  <c r="C63" i="1"/>
  <c r="C62" i="1"/>
  <c r="C61" i="1"/>
  <c r="C60" i="1"/>
  <c r="R55" i="1" l="1"/>
  <c r="Q55" i="1"/>
  <c r="P55" i="1"/>
  <c r="O55" i="1"/>
  <c r="R57" i="1"/>
  <c r="Q57" i="1"/>
  <c r="P57" i="1"/>
  <c r="O57" i="1"/>
  <c r="N57" i="1"/>
  <c r="N55" i="1"/>
  <c r="R40" i="1"/>
  <c r="Q40" i="1"/>
  <c r="P40" i="1"/>
  <c r="O40" i="1"/>
  <c r="N40" i="1"/>
  <c r="R25" i="1"/>
  <c r="Q25" i="1"/>
  <c r="P25" i="1"/>
  <c r="O25" i="1"/>
  <c r="N25" i="1"/>
  <c r="R42" i="1"/>
  <c r="Q42" i="1"/>
  <c r="P42" i="1"/>
  <c r="O42" i="1"/>
  <c r="N42" i="1"/>
  <c r="R27" i="1"/>
  <c r="Q27" i="1"/>
  <c r="P27" i="1"/>
  <c r="O27" i="1"/>
  <c r="N27" i="1"/>
  <c r="R56" i="5"/>
  <c r="Q56" i="5"/>
  <c r="P56" i="5"/>
  <c r="O56" i="5"/>
  <c r="N56" i="5"/>
  <c r="R41" i="5"/>
  <c r="Q41" i="5"/>
  <c r="P41" i="5"/>
  <c r="O41" i="5"/>
  <c r="N41" i="5"/>
  <c r="R26" i="5"/>
  <c r="P26" i="5"/>
  <c r="O26" i="5"/>
  <c r="N26" i="5"/>
  <c r="Q26" i="5"/>
  <c r="T11" i="5"/>
  <c r="E25" i="5" s="1"/>
  <c r="T10" i="5"/>
  <c r="E24" i="5" s="1"/>
  <c r="T9" i="5"/>
  <c r="E23" i="5" s="1"/>
  <c r="T8" i="5"/>
  <c r="R59" i="5" l="1"/>
  <c r="Q59" i="5"/>
  <c r="P59" i="5"/>
  <c r="O59" i="5"/>
  <c r="O57" i="5"/>
  <c r="N57" i="5"/>
  <c r="O42" i="5"/>
  <c r="N42" i="5"/>
  <c r="R44" i="5"/>
  <c r="Q44" i="5"/>
  <c r="P44" i="5"/>
  <c r="R29" i="5"/>
  <c r="Q29" i="5"/>
  <c r="P29" i="5"/>
  <c r="O27" i="5"/>
  <c r="N27" i="5"/>
  <c r="N59" i="5"/>
  <c r="O44" i="5"/>
  <c r="N44" i="5"/>
  <c r="O29" i="5"/>
  <c r="N29" i="5"/>
  <c r="H36" i="5"/>
  <c r="R60" i="5" s="1"/>
  <c r="R57" i="5"/>
  <c r="Q57" i="5"/>
  <c r="P57" i="5"/>
  <c r="R42" i="5"/>
  <c r="Q42" i="5"/>
  <c r="P42" i="5"/>
  <c r="R27" i="5"/>
  <c r="Q27" i="5"/>
  <c r="P27" i="5"/>
  <c r="Y71" i="5"/>
  <c r="X71" i="5"/>
  <c r="W71" i="5"/>
  <c r="V71" i="5"/>
  <c r="U71" i="5"/>
  <c r="Y69" i="5"/>
  <c r="X69" i="5"/>
  <c r="W69" i="5"/>
  <c r="V69" i="5"/>
  <c r="U69" i="5"/>
  <c r="R55" i="5"/>
  <c r="Q55" i="5"/>
  <c r="P55" i="5"/>
  <c r="O55" i="5"/>
  <c r="R40" i="5"/>
  <c r="Q40" i="5"/>
  <c r="P40" i="5"/>
  <c r="O40" i="5"/>
  <c r="N55" i="5"/>
  <c r="N40" i="5"/>
  <c r="R25" i="5"/>
  <c r="Q25" i="5"/>
  <c r="P25" i="5"/>
  <c r="O25" i="5"/>
  <c r="N25" i="5"/>
  <c r="N26" i="1"/>
  <c r="O26" i="1"/>
  <c r="P26" i="1"/>
  <c r="Q26" i="1"/>
  <c r="R26" i="1"/>
  <c r="N41" i="1"/>
  <c r="O41" i="1"/>
  <c r="P41" i="1"/>
  <c r="Q41" i="1"/>
  <c r="R41" i="1"/>
  <c r="N56" i="1"/>
  <c r="O56" i="1"/>
  <c r="P56" i="1"/>
  <c r="Q56" i="1"/>
  <c r="R56" i="1"/>
  <c r="G36" i="5"/>
  <c r="R58" i="5" s="1"/>
  <c r="F36" i="5"/>
  <c r="Q30" i="5" s="1"/>
  <c r="E36" i="5"/>
  <c r="R28" i="5" s="1"/>
  <c r="Y56" i="5"/>
  <c r="W56" i="5"/>
  <c r="V56" i="5"/>
  <c r="U56" i="5"/>
  <c r="Y54" i="5"/>
  <c r="X54" i="5"/>
  <c r="W54" i="5"/>
  <c r="V54" i="5"/>
  <c r="U54" i="5"/>
  <c r="R62" i="5"/>
  <c r="Q62" i="5"/>
  <c r="P62" i="5"/>
  <c r="O62" i="5"/>
  <c r="N62" i="5"/>
  <c r="G56" i="5"/>
  <c r="F56" i="5"/>
  <c r="E56" i="5"/>
  <c r="D56" i="5"/>
  <c r="U41" i="5"/>
  <c r="Y39" i="5"/>
  <c r="X39" i="5"/>
  <c r="W39" i="5"/>
  <c r="V39" i="5"/>
  <c r="U39" i="5"/>
  <c r="R47" i="5"/>
  <c r="Q47" i="5"/>
  <c r="P47" i="5"/>
  <c r="O47" i="5"/>
  <c r="N47" i="5"/>
  <c r="Y41" i="5"/>
  <c r="X56" i="5"/>
  <c r="X41" i="5"/>
  <c r="X32" i="5"/>
  <c r="W41" i="5"/>
  <c r="G38" i="5"/>
  <c r="F38" i="5"/>
  <c r="E38" i="5"/>
  <c r="D38" i="5"/>
  <c r="D36" i="5"/>
  <c r="Y32" i="5"/>
  <c r="W32" i="5"/>
  <c r="U32" i="5"/>
  <c r="Y30" i="5"/>
  <c r="X30" i="5"/>
  <c r="W30" i="5"/>
  <c r="V30" i="5"/>
  <c r="U30" i="5"/>
  <c r="R32" i="5"/>
  <c r="Q32" i="5"/>
  <c r="P32" i="5"/>
  <c r="O32" i="5"/>
  <c r="N32" i="5"/>
  <c r="X16" i="5"/>
  <c r="X15" i="5"/>
  <c r="X14" i="5"/>
  <c r="X13" i="5"/>
  <c r="T13" i="5"/>
  <c r="H3" i="5" s="1"/>
  <c r="X12" i="5"/>
  <c r="X11" i="5"/>
  <c r="X10" i="5"/>
  <c r="E22" i="5"/>
  <c r="R31" i="5" l="1"/>
  <c r="E43" i="5" s="1"/>
  <c r="R23" i="5" s="1"/>
  <c r="R61" i="5"/>
  <c r="G43" i="5" s="1"/>
  <c r="R53" i="5" s="1"/>
  <c r="P30" i="5"/>
  <c r="Q43" i="5"/>
  <c r="Q46" i="5" s="1"/>
  <c r="F42" i="5" s="1"/>
  <c r="Q38" i="5" s="1"/>
  <c r="R30" i="5"/>
  <c r="N43" i="5"/>
  <c r="P43" i="5"/>
  <c r="P46" i="5" s="1"/>
  <c r="F41" i="5" s="1"/>
  <c r="P38" i="5" s="1"/>
  <c r="N30" i="5"/>
  <c r="N31" i="5" s="1"/>
  <c r="E39" i="5" s="1"/>
  <c r="N23" i="5" s="1"/>
  <c r="R43" i="5"/>
  <c r="R46" i="5" s="1"/>
  <c r="F43" i="5" s="1"/>
  <c r="R38" i="5" s="1"/>
  <c r="O43" i="5"/>
  <c r="O30" i="5"/>
  <c r="O31" i="5" s="1"/>
  <c r="E40" i="5" s="1"/>
  <c r="N58" i="5"/>
  <c r="O58" i="5"/>
  <c r="N45" i="5"/>
  <c r="N46" i="5" s="1"/>
  <c r="F39" i="5" s="1"/>
  <c r="N38" i="5" s="1"/>
  <c r="O45" i="5"/>
  <c r="O46" i="5" s="1"/>
  <c r="F40" i="5" s="1"/>
  <c r="O38" i="5" s="1"/>
  <c r="O60" i="5"/>
  <c r="O61" i="5" s="1"/>
  <c r="G40" i="5" s="1"/>
  <c r="O53" i="5" s="1"/>
  <c r="N60" i="5"/>
  <c r="N61" i="5" s="1"/>
  <c r="G39" i="5" s="1"/>
  <c r="N53" i="5" s="1"/>
  <c r="P60" i="5"/>
  <c r="Q60" i="5"/>
  <c r="Q45" i="5"/>
  <c r="P58" i="5"/>
  <c r="P61" i="5" s="1"/>
  <c r="G41" i="5" s="1"/>
  <c r="P53" i="5" s="1"/>
  <c r="Q58" i="5"/>
  <c r="Q61" i="5" s="1"/>
  <c r="G42" i="5" s="1"/>
  <c r="Q53" i="5" s="1"/>
  <c r="R45" i="5"/>
  <c r="P45" i="5"/>
  <c r="N28" i="5"/>
  <c r="O28" i="5"/>
  <c r="P28" i="5"/>
  <c r="P31" i="5" s="1"/>
  <c r="E41" i="5" s="1"/>
  <c r="Q28" i="5"/>
  <c r="Q31" i="5" s="1"/>
  <c r="E42" i="5" s="1"/>
  <c r="Q23" i="5" s="1"/>
  <c r="H57" i="5"/>
  <c r="X17" i="5"/>
  <c r="O23" i="5"/>
  <c r="I31" i="5"/>
  <c r="Z53" i="5"/>
  <c r="V32" i="5"/>
  <c r="Z31" i="5" s="1"/>
  <c r="V41" i="5"/>
  <c r="Z39" i="5" s="1"/>
  <c r="Z68" i="5" l="1"/>
  <c r="F44" i="5"/>
  <c r="Y38" i="5" s="1"/>
  <c r="O48" i="5"/>
  <c r="N33" i="5"/>
  <c r="N34" i="5" s="1"/>
  <c r="N24" i="5" s="1"/>
  <c r="O63" i="5"/>
  <c r="G44" i="5"/>
  <c r="Y68" i="5" s="1"/>
  <c r="P63" i="5"/>
  <c r="N63" i="5"/>
  <c r="N64" i="5" s="1"/>
  <c r="N54" i="5" s="1"/>
  <c r="E44" i="5"/>
  <c r="U29" i="5" s="1"/>
  <c r="P23" i="5"/>
  <c r="R63" i="5"/>
  <c r="R33" i="5"/>
  <c r="X18" i="5"/>
  <c r="Q63" i="5"/>
  <c r="T14" i="5"/>
  <c r="P48" i="5"/>
  <c r="P33" i="5"/>
  <c r="Q33" i="5"/>
  <c r="O33" i="5"/>
  <c r="O34" i="5" s="1"/>
  <c r="O24" i="5" s="1"/>
  <c r="R48" i="5"/>
  <c r="N48" i="5"/>
  <c r="N49" i="5" s="1"/>
  <c r="N39" i="5" s="1"/>
  <c r="Q48" i="5"/>
  <c r="U53" i="5" l="1"/>
  <c r="Y53" i="5"/>
  <c r="X53" i="5"/>
  <c r="V53" i="5"/>
  <c r="U68" i="5"/>
  <c r="V68" i="5"/>
  <c r="W68" i="5"/>
  <c r="X68" i="5"/>
  <c r="W53" i="5"/>
  <c r="V38" i="5"/>
  <c r="X38" i="5"/>
  <c r="W38" i="5"/>
  <c r="U38" i="5"/>
  <c r="Y29" i="5"/>
  <c r="W29" i="5"/>
  <c r="V29" i="5"/>
  <c r="X29" i="5"/>
  <c r="X19" i="5"/>
  <c r="O64" i="5" l="1"/>
  <c r="O54" i="5" s="1"/>
  <c r="R64" i="5"/>
  <c r="R54" i="5" s="1"/>
  <c r="O49" i="5"/>
  <c r="O39" i="5" s="1"/>
  <c r="Q49" i="5"/>
  <c r="Q39" i="5" s="1"/>
  <c r="P64" i="5"/>
  <c r="P54" i="5" s="1"/>
  <c r="P49" i="5"/>
  <c r="P39" i="5" s="1"/>
  <c r="Q34" i="5"/>
  <c r="Q24" i="5" s="1"/>
  <c r="R49" i="5"/>
  <c r="R39" i="5" s="1"/>
  <c r="R34" i="5"/>
  <c r="R24" i="5" s="1"/>
  <c r="P34" i="5"/>
  <c r="Q64" i="5"/>
  <c r="Q54" i="5" s="1"/>
  <c r="P24" i="5" l="1"/>
  <c r="E57" i="5" s="1"/>
  <c r="E65" i="5" s="1"/>
  <c r="F57" i="5"/>
  <c r="F65" i="5" s="1"/>
  <c r="G57" i="5"/>
  <c r="G65" i="5" s="1"/>
  <c r="E64" i="5" l="1"/>
  <c r="E60" i="5"/>
  <c r="E58" i="5"/>
  <c r="E62" i="5"/>
  <c r="E63" i="5"/>
  <c r="E61" i="5"/>
  <c r="E59" i="5"/>
  <c r="F60" i="5"/>
  <c r="F63" i="5"/>
  <c r="F62" i="5"/>
  <c r="F61" i="5"/>
  <c r="F64" i="5"/>
  <c r="G64" i="5"/>
  <c r="G63" i="5"/>
  <c r="G62" i="5"/>
  <c r="G61" i="5"/>
  <c r="F58" i="5"/>
  <c r="F55" i="5"/>
  <c r="E55" i="5"/>
  <c r="G55" i="5"/>
  <c r="F59" i="5"/>
  <c r="G59" i="5"/>
  <c r="G58" i="5"/>
  <c r="G60" i="5"/>
  <c r="U10" i="1"/>
  <c r="T11" i="1"/>
  <c r="T10" i="1"/>
  <c r="U9" i="1"/>
  <c r="T9" i="1"/>
  <c r="X15" i="1"/>
  <c r="X14" i="1"/>
  <c r="X13" i="1"/>
  <c r="X12" i="1"/>
  <c r="X11" i="1"/>
  <c r="X10" i="1"/>
  <c r="T13" i="1"/>
  <c r="G43" i="1"/>
  <c r="R53" i="1" s="1"/>
  <c r="F43" i="1"/>
  <c r="E43" i="1"/>
  <c r="R23" i="1" s="1"/>
  <c r="G42" i="1"/>
  <c r="F42" i="1"/>
  <c r="E42" i="1"/>
  <c r="G41" i="1"/>
  <c r="P53" i="1" s="1"/>
  <c r="F41" i="1"/>
  <c r="P38" i="1" s="1"/>
  <c r="E41" i="1"/>
  <c r="P23" i="1" s="1"/>
  <c r="G40" i="1"/>
  <c r="O53" i="1" s="1"/>
  <c r="F40" i="1"/>
  <c r="O38" i="1" s="1"/>
  <c r="E40" i="1"/>
  <c r="O23" i="1" s="1"/>
  <c r="G39" i="1"/>
  <c r="N53" i="1" s="1"/>
  <c r="F39" i="1"/>
  <c r="N38" i="1" s="1"/>
  <c r="E39" i="1"/>
  <c r="N23" i="1" s="1"/>
  <c r="R60" i="1"/>
  <c r="Q60" i="1"/>
  <c r="R45" i="1"/>
  <c r="Q45" i="1"/>
  <c r="R30" i="1"/>
  <c r="Q30" i="1"/>
  <c r="R58" i="1"/>
  <c r="Q58" i="1"/>
  <c r="R43" i="1"/>
  <c r="Q43" i="1"/>
  <c r="R28" i="1"/>
  <c r="Q28" i="1"/>
  <c r="H57" i="1" l="1"/>
  <c r="F44" i="1"/>
  <c r="G44" i="1"/>
  <c r="E44" i="1"/>
  <c r="R38" i="1"/>
  <c r="Q23" i="1"/>
  <c r="Q38" i="1"/>
  <c r="Q53" i="1"/>
  <c r="U70" i="1" l="1"/>
  <c r="U51" i="1"/>
  <c r="U31" i="1"/>
  <c r="U11" i="1" l="1"/>
  <c r="E26" i="1"/>
  <c r="E25" i="1"/>
  <c r="E22" i="1"/>
  <c r="U76" i="1"/>
  <c r="CB77" i="1"/>
  <c r="CA77" i="1"/>
  <c r="BZ77" i="1"/>
  <c r="BY77" i="1"/>
  <c r="BX77" i="1"/>
  <c r="BW77" i="1"/>
  <c r="BV77" i="1"/>
  <c r="BU77" i="1"/>
  <c r="BT77" i="1"/>
  <c r="BS77" i="1"/>
  <c r="BR77" i="1"/>
  <c r="BQ77" i="1"/>
  <c r="BP77" i="1"/>
  <c r="AF77" i="1"/>
  <c r="AE77" i="1"/>
  <c r="AD77" i="1"/>
  <c r="AC77" i="1"/>
  <c r="AB77" i="1"/>
  <c r="AA77" i="1"/>
  <c r="Z77" i="1"/>
  <c r="Y77" i="1"/>
  <c r="X77" i="1"/>
  <c r="W77" i="1"/>
  <c r="V77" i="1"/>
  <c r="U77" i="1"/>
  <c r="AR77" i="1"/>
  <c r="AQ77" i="1"/>
  <c r="AP77" i="1"/>
  <c r="AO77" i="1"/>
  <c r="AN77" i="1"/>
  <c r="AM77" i="1"/>
  <c r="AL77" i="1"/>
  <c r="AK77" i="1"/>
  <c r="AJ77" i="1"/>
  <c r="AI77" i="1"/>
  <c r="AH77" i="1"/>
  <c r="AG77" i="1"/>
  <c r="BD77" i="1"/>
  <c r="BC77" i="1"/>
  <c r="BB77" i="1"/>
  <c r="BA77" i="1"/>
  <c r="AZ77" i="1"/>
  <c r="AY77" i="1"/>
  <c r="AX77" i="1"/>
  <c r="AW77" i="1"/>
  <c r="AV77" i="1"/>
  <c r="AU77" i="1"/>
  <c r="AT77" i="1"/>
  <c r="AS77" i="1"/>
  <c r="BO77" i="1"/>
  <c r="BN77" i="1"/>
  <c r="BM77" i="1"/>
  <c r="BL77" i="1"/>
  <c r="BK77" i="1"/>
  <c r="BJ77" i="1"/>
  <c r="BI77" i="1"/>
  <c r="BH77" i="1"/>
  <c r="BG77" i="1"/>
  <c r="BF77" i="1"/>
  <c r="BE77" i="1"/>
  <c r="C24" i="1" l="1"/>
  <c r="AS76" i="1" s="1"/>
  <c r="X16" i="1"/>
  <c r="V76" i="1"/>
  <c r="W76" i="1" s="1"/>
  <c r="X76" i="1" s="1"/>
  <c r="Y76" i="1" s="1"/>
  <c r="Z76" i="1" s="1"/>
  <c r="AA76" i="1" s="1"/>
  <c r="AB76" i="1" s="1"/>
  <c r="AC76" i="1" s="1"/>
  <c r="AD76" i="1" s="1"/>
  <c r="AE76" i="1" s="1"/>
  <c r="AF76" i="1" s="1"/>
  <c r="AG76" i="1"/>
  <c r="E23" i="1"/>
  <c r="E24" i="1"/>
  <c r="AH76" i="1" l="1"/>
  <c r="AI76" i="1" s="1"/>
  <c r="AJ76" i="1" s="1"/>
  <c r="AK76" i="1" s="1"/>
  <c r="AL76" i="1" s="1"/>
  <c r="AM76" i="1" s="1"/>
  <c r="AN76" i="1" s="1"/>
  <c r="AO76" i="1" s="1"/>
  <c r="AP76" i="1" s="1"/>
  <c r="AQ76" i="1" s="1"/>
  <c r="AR76" i="1" s="1"/>
  <c r="AM78" i="1"/>
  <c r="W78" i="1"/>
  <c r="AC78" i="1"/>
  <c r="Z78" i="1"/>
  <c r="AL78" i="1"/>
  <c r="V78" i="1"/>
  <c r="AD78" i="1"/>
  <c r="AQ78" i="1"/>
  <c r="AA78" i="1"/>
  <c r="AN78" i="1"/>
  <c r="AK78" i="1"/>
  <c r="U78" i="1"/>
  <c r="AR78" i="1"/>
  <c r="AB78" i="1"/>
  <c r="X78" i="1"/>
  <c r="AJ78" i="1"/>
  <c r="AI78" i="1"/>
  <c r="AH78" i="1"/>
  <c r="AG78" i="1"/>
  <c r="AF78" i="1"/>
  <c r="AP78" i="1"/>
  <c r="AO78" i="1"/>
  <c r="AE78" i="1"/>
  <c r="Y78" i="1"/>
  <c r="AT76" i="1"/>
  <c r="AU76" i="1" s="1"/>
  <c r="AV76" i="1" s="1"/>
  <c r="AW76" i="1" s="1"/>
  <c r="AX76" i="1" s="1"/>
  <c r="AY76" i="1" s="1"/>
  <c r="AZ76" i="1" s="1"/>
  <c r="BA76" i="1" s="1"/>
  <c r="BB76" i="1" s="1"/>
  <c r="BC76" i="1" s="1"/>
  <c r="BD76" i="1" s="1"/>
  <c r="C25" i="1"/>
  <c r="BE76" i="1" s="1"/>
  <c r="X17" i="1"/>
  <c r="G56" i="1"/>
  <c r="F56" i="1"/>
  <c r="E56" i="1"/>
  <c r="D56" i="1"/>
  <c r="G38" i="1"/>
  <c r="F38" i="1"/>
  <c r="E38" i="1"/>
  <c r="D38" i="1"/>
  <c r="Y69" i="1"/>
  <c r="X69" i="1"/>
  <c r="W69" i="1"/>
  <c r="V69" i="1"/>
  <c r="U69" i="1"/>
  <c r="Y50" i="1"/>
  <c r="X50" i="1"/>
  <c r="W50" i="1"/>
  <c r="V50" i="1"/>
  <c r="U50" i="1"/>
  <c r="Y30" i="1"/>
  <c r="X30" i="1"/>
  <c r="W30" i="1"/>
  <c r="V30" i="1"/>
  <c r="U30" i="1"/>
  <c r="AX78" i="1" l="1"/>
  <c r="AS78" i="1"/>
  <c r="AZ78" i="1"/>
  <c r="BA78" i="1"/>
  <c r="AT78" i="1"/>
  <c r="AU78" i="1"/>
  <c r="BD78" i="1"/>
  <c r="BC78" i="1"/>
  <c r="AV78" i="1"/>
  <c r="AW78" i="1"/>
  <c r="BF76" i="1"/>
  <c r="BB78" i="1"/>
  <c r="AY78" i="1"/>
  <c r="Q59" i="1"/>
  <c r="Q61" i="1" s="1"/>
  <c r="R59" i="1"/>
  <c r="R61" i="1" s="1"/>
  <c r="R44" i="1"/>
  <c r="R46" i="1" s="1"/>
  <c r="Q44" i="1"/>
  <c r="Q46" i="1" s="1"/>
  <c r="R29" i="1"/>
  <c r="R31" i="1" s="1"/>
  <c r="Q29" i="1"/>
  <c r="Q31" i="1" s="1"/>
  <c r="C26" i="1"/>
  <c r="X19" i="1" s="1"/>
  <c r="X18" i="1"/>
  <c r="P58" i="1"/>
  <c r="O58" i="1"/>
  <c r="N58" i="1"/>
  <c r="O60" i="1"/>
  <c r="P60" i="1"/>
  <c r="P43" i="1"/>
  <c r="O43" i="1"/>
  <c r="N43" i="1"/>
  <c r="O45" i="1"/>
  <c r="P45" i="1"/>
  <c r="N28" i="1"/>
  <c r="P28" i="1"/>
  <c r="O28" i="1"/>
  <c r="O30" i="1"/>
  <c r="P30" i="1"/>
  <c r="G36" i="1"/>
  <c r="D36" i="1"/>
  <c r="F36" i="1"/>
  <c r="U32" i="1"/>
  <c r="U52" i="1"/>
  <c r="N59" i="1"/>
  <c r="O29" i="1"/>
  <c r="V52" i="1"/>
  <c r="O59" i="1"/>
  <c r="W32" i="1"/>
  <c r="P44" i="1"/>
  <c r="P59" i="1"/>
  <c r="X32" i="1"/>
  <c r="N30" i="1"/>
  <c r="N45" i="1"/>
  <c r="N60" i="1"/>
  <c r="BG76" i="1" l="1"/>
  <c r="R63" i="1"/>
  <c r="R48" i="1"/>
  <c r="Q48" i="1"/>
  <c r="R33" i="1"/>
  <c r="Q33" i="1"/>
  <c r="O31" i="1"/>
  <c r="O33" i="1" s="1"/>
  <c r="P46" i="1"/>
  <c r="V32" i="1"/>
  <c r="Z31" i="1" s="1"/>
  <c r="N44" i="1"/>
  <c r="U71" i="1"/>
  <c r="V71" i="1"/>
  <c r="W71" i="1"/>
  <c r="W52" i="1"/>
  <c r="X71" i="1"/>
  <c r="X52" i="1"/>
  <c r="Z50" i="1" s="1"/>
  <c r="Y71" i="1"/>
  <c r="Y52" i="1"/>
  <c r="N29" i="1"/>
  <c r="P29" i="1"/>
  <c r="O61" i="1"/>
  <c r="O63" i="1" s="1"/>
  <c r="P61" i="1"/>
  <c r="O44" i="1"/>
  <c r="Y32" i="1"/>
  <c r="E36" i="1"/>
  <c r="H31" i="1"/>
  <c r="BH76" i="1" l="1"/>
  <c r="O46" i="1"/>
  <c r="P31" i="1"/>
  <c r="Z68" i="1"/>
  <c r="T14" i="1" s="1"/>
  <c r="H3" i="1" s="1"/>
  <c r="X49" i="1"/>
  <c r="Q39" i="1" s="1"/>
  <c r="U49" i="1"/>
  <c r="Y49" i="1"/>
  <c r="R39" i="1" s="1"/>
  <c r="V49" i="1"/>
  <c r="W49" i="1"/>
  <c r="N61" i="1"/>
  <c r="BI76" i="1" l="1"/>
  <c r="Y68" i="1"/>
  <c r="R54" i="1" s="1"/>
  <c r="X68" i="1"/>
  <c r="W68" i="1"/>
  <c r="V68" i="1"/>
  <c r="O54" i="1" s="1"/>
  <c r="U68" i="1"/>
  <c r="X29" i="1"/>
  <c r="Q24" i="1" s="1"/>
  <c r="V29" i="1"/>
  <c r="O24" i="1" s="1"/>
  <c r="W29" i="1"/>
  <c r="U29" i="1"/>
  <c r="Y29" i="1"/>
  <c r="R24" i="1" s="1"/>
  <c r="N31" i="1"/>
  <c r="N33" i="1" s="1"/>
  <c r="BJ76" i="1" l="1"/>
  <c r="N24" i="1"/>
  <c r="N46" i="1"/>
  <c r="N48" i="1" s="1"/>
  <c r="BK76" i="1" l="1"/>
  <c r="N39" i="1"/>
  <c r="BL76" i="1" l="1"/>
  <c r="BM76" i="1" l="1"/>
  <c r="BN76" i="1" l="1"/>
  <c r="BO76" i="1" l="1"/>
  <c r="BP76" i="1" l="1"/>
  <c r="BQ76" i="1" l="1"/>
  <c r="BR76" i="1" l="1"/>
  <c r="BS76" i="1" l="1"/>
  <c r="BT76" i="1" l="1"/>
  <c r="BU76" i="1" l="1"/>
  <c r="BV76" i="1" l="1"/>
  <c r="BW76" i="1" l="1"/>
  <c r="BX76" i="1" l="1"/>
  <c r="BY76" i="1" l="1"/>
  <c r="BZ76" i="1" l="1"/>
  <c r="CA76" i="1" l="1"/>
  <c r="CB76" i="1" s="1"/>
  <c r="O62" i="1"/>
  <c r="P62" i="1"/>
  <c r="P63" i="1" s="1"/>
  <c r="P54" i="1" s="1"/>
  <c r="N62" i="1" l="1"/>
  <c r="N63" i="1" s="1"/>
  <c r="N54" i="1" s="1"/>
  <c r="R47" i="1"/>
  <c r="N32" i="1"/>
  <c r="P32" i="1"/>
  <c r="P33" i="1" s="1"/>
  <c r="P24" i="1" s="1"/>
  <c r="E57" i="1" s="1"/>
  <c r="E65" i="1" s="1"/>
  <c r="Q32" i="1"/>
  <c r="Q47" i="1"/>
  <c r="N47" i="1"/>
  <c r="R32" i="1"/>
  <c r="O32" i="1"/>
  <c r="O47" i="1"/>
  <c r="O48" i="1" s="1"/>
  <c r="O39" i="1" s="1"/>
  <c r="P47" i="1"/>
  <c r="P48" i="1" s="1"/>
  <c r="P39" i="1" s="1"/>
  <c r="BN78" i="1"/>
  <c r="BW78" i="1"/>
  <c r="BY78" i="1"/>
  <c r="CA78" i="1"/>
  <c r="BZ78" i="1"/>
  <c r="BM78" i="1"/>
  <c r="BU78" i="1"/>
  <c r="BJ78" i="1"/>
  <c r="CB78" i="1"/>
  <c r="BT78" i="1"/>
  <c r="BV78" i="1"/>
  <c r="BG78" i="1"/>
  <c r="BX78" i="1"/>
  <c r="BP78" i="1"/>
  <c r="BR78" i="1"/>
  <c r="BO78" i="1"/>
  <c r="BQ78" i="1"/>
  <c r="BE78" i="1"/>
  <c r="BI78" i="1"/>
  <c r="BS78" i="1"/>
  <c r="BF78" i="1"/>
  <c r="BK78" i="1"/>
  <c r="BL78" i="1"/>
  <c r="BH78" i="1"/>
  <c r="R62" i="1"/>
  <c r="Q62" i="1"/>
  <c r="Q63" i="1" s="1"/>
  <c r="Q54" i="1" s="1"/>
  <c r="G57" i="1" s="1"/>
  <c r="G65" i="1" s="1"/>
  <c r="F57" i="1" l="1"/>
  <c r="F65" i="1" s="1"/>
  <c r="G66" i="1"/>
  <c r="G69" i="1"/>
  <c r="G67" i="1"/>
  <c r="G62" i="1"/>
  <c r="G59" i="1"/>
  <c r="G63" i="1"/>
  <c r="G61" i="1"/>
  <c r="G60" i="1"/>
  <c r="G68" i="1"/>
  <c r="G58" i="1"/>
  <c r="G64" i="1"/>
  <c r="G70" i="1"/>
  <c r="E61" i="1"/>
  <c r="E68" i="1"/>
  <c r="E59" i="1"/>
  <c r="E69" i="1"/>
  <c r="E63" i="1"/>
  <c r="E67" i="1"/>
  <c r="E70" i="1"/>
  <c r="E66" i="1"/>
  <c r="E60" i="1"/>
  <c r="E62" i="1"/>
  <c r="E58" i="1"/>
  <c r="E64" i="1"/>
  <c r="F55" i="1"/>
  <c r="E55" i="1"/>
  <c r="G55" i="1"/>
  <c r="F67" i="1"/>
  <c r="F69" i="1"/>
  <c r="F68" i="1"/>
  <c r="F59" i="1"/>
  <c r="F60" i="1"/>
  <c r="F66" i="1"/>
  <c r="F70" i="1"/>
  <c r="F58" i="1"/>
  <c r="F62" i="1"/>
  <c r="F63" i="1"/>
  <c r="F64" i="1"/>
  <c r="F61" i="1"/>
</calcChain>
</file>

<file path=xl/sharedStrings.xml><?xml version="1.0" encoding="utf-8"?>
<sst xmlns="http://schemas.openxmlformats.org/spreadsheetml/2006/main" count="371" uniqueCount="153">
  <si>
    <t>事業復活支援金  要件判定表</t>
    <rPh sb="9" eb="11">
      <t>ヨウケン</t>
    </rPh>
    <rPh sb="11" eb="13">
      <t>ハンテイ</t>
    </rPh>
    <rPh sb="13" eb="14">
      <t>ヒョウ</t>
    </rPh>
    <phoneticPr fontId="3"/>
  </si>
  <si>
    <t>要件判定</t>
    <rPh sb="0" eb="2">
      <t>ヨウケン</t>
    </rPh>
    <rPh sb="2" eb="4">
      <t>ハンテイ</t>
    </rPh>
    <phoneticPr fontId="3"/>
  </si>
  <si>
    <t>基準期間</t>
    <rPh sb="0" eb="2">
      <t>キジュン</t>
    </rPh>
    <rPh sb="2" eb="4">
      <t>キカン</t>
    </rPh>
    <phoneticPr fontId="3"/>
  </si>
  <si>
    <t>対象月</t>
    <rPh sb="0" eb="2">
      <t>タイショウ</t>
    </rPh>
    <rPh sb="2" eb="3">
      <t>ツキ</t>
    </rPh>
    <phoneticPr fontId="3"/>
  </si>
  <si>
    <t>新型コロナの影響で、</t>
    <phoneticPr fontId="3"/>
  </si>
  <si>
    <t xml:space="preserve">2021年11月～2022年3月のいずれかの月の売上高が、
</t>
    <phoneticPr fontId="3"/>
  </si>
  <si>
    <t xml:space="preserve">2018年11月～2021年3月までの間の任意の同じ月の
</t>
    <phoneticPr fontId="3"/>
  </si>
  <si>
    <t>事業者（中堅・中小・小規模事業者、フリーランスを含む個人事業主）</t>
    <phoneticPr fontId="3"/>
  </si>
  <si>
    <t>対象者</t>
    <rPh sb="0" eb="3">
      <t>タイショウシャ</t>
    </rPh>
    <phoneticPr fontId="3"/>
  </si>
  <si>
    <t>法人or個人</t>
    <rPh sb="0" eb="2">
      <t>ホウジン</t>
    </rPh>
    <rPh sb="4" eb="6">
      <t>コジン</t>
    </rPh>
    <phoneticPr fontId="3"/>
  </si>
  <si>
    <t>1億円以下</t>
  </si>
  <si>
    <t>1億円超～5億円</t>
  </si>
  <si>
    <t>5億円超</t>
  </si>
  <si>
    <t xml:space="preserve">売上高と比較して50%以上または30%～50%減少した
</t>
    <phoneticPr fontId="3"/>
  </si>
  <si>
    <t>給付額</t>
    <rPh sb="0" eb="3">
      <t>キュウフガク</t>
    </rPh>
    <phoneticPr fontId="3"/>
  </si>
  <si>
    <t>給付額計算</t>
    <rPh sb="0" eb="3">
      <t>キュウフガク</t>
    </rPh>
    <rPh sb="3" eb="5">
      <t>ケイサン</t>
    </rPh>
    <phoneticPr fontId="3"/>
  </si>
  <si>
    <t xml:space="preserve">給付額は、上記で定めた上限額を超えない範囲で、
</t>
    <phoneticPr fontId="3"/>
  </si>
  <si>
    <t>「基準期間※1の売上高」と「対象月※2の売上高」に5をかけた額との差額</t>
    <phoneticPr fontId="3"/>
  </si>
  <si>
    <r>
      <t>給付額 ＝（基準期間</t>
    </r>
    <r>
      <rPr>
        <sz val="6"/>
        <color theme="1"/>
        <rFont val="BIZ UDPゴシック"/>
        <family val="3"/>
        <charset val="128"/>
      </rPr>
      <t>※1</t>
    </r>
    <r>
      <rPr>
        <sz val="11"/>
        <color theme="1"/>
        <rFont val="BIZ UDPゴシック"/>
        <family val="3"/>
        <charset val="128"/>
      </rPr>
      <t>の売上高）ー（対象月</t>
    </r>
    <r>
      <rPr>
        <sz val="6"/>
        <color theme="1"/>
        <rFont val="BIZ UDPゴシック"/>
        <family val="3"/>
        <charset val="128"/>
      </rPr>
      <t>※2</t>
    </r>
    <r>
      <rPr>
        <sz val="11"/>
        <color theme="1"/>
        <rFont val="BIZ UDPゴシック"/>
        <family val="3"/>
        <charset val="128"/>
      </rPr>
      <t>の売上高）×5</t>
    </r>
    <phoneticPr fontId="3"/>
  </si>
  <si>
    <t>※2 2021年11月～2022年3月のいずれかの月</t>
    <phoneticPr fontId="3"/>
  </si>
  <si>
    <t xml:space="preserve">※1 2018年11月～2019年3月、2019年11月～2020年3月、2020年11月～2021年3月の
</t>
    <phoneticPr fontId="3"/>
  </si>
  <si>
    <t>いずれかの期間のうち、売上高の比較に用いた月を含む期間。</t>
    <phoneticPr fontId="3"/>
  </si>
  <si>
    <t>個人</t>
    <rPh sb="0" eb="2">
      <t>コジン</t>
    </rPh>
    <phoneticPr fontId="3"/>
  </si>
  <si>
    <t>法人</t>
    <rPh sb="0" eb="2">
      <t>ホウジン</t>
    </rPh>
    <phoneticPr fontId="3"/>
  </si>
  <si>
    <t>選択区分</t>
    <rPh sb="0" eb="2">
      <t>センタク</t>
    </rPh>
    <rPh sb="2" eb="4">
      <t>クブン</t>
    </rPh>
    <phoneticPr fontId="3"/>
  </si>
  <si>
    <t>減少率区分</t>
    <rPh sb="0" eb="2">
      <t>ゲンショウ</t>
    </rPh>
    <rPh sb="2" eb="3">
      <t>リツ</t>
    </rPh>
    <rPh sb="3" eb="5">
      <t>クブン</t>
    </rPh>
    <phoneticPr fontId="3"/>
  </si>
  <si>
    <t>50%以上</t>
  </si>
  <si>
    <t>売上高区分</t>
    <rPh sb="0" eb="2">
      <t>ウリアゲ</t>
    </rPh>
    <rPh sb="2" eb="3">
      <t>ダカ</t>
    </rPh>
    <rPh sb="3" eb="5">
      <t>クブン</t>
    </rPh>
    <phoneticPr fontId="3"/>
  </si>
  <si>
    <t>30%～50%未満</t>
    <phoneticPr fontId="3"/>
  </si>
  <si>
    <t>エラーチェック</t>
    <phoneticPr fontId="3"/>
  </si>
  <si>
    <t>＊2022年3月までの見通しを立てられるよう、コロナ禍で大きな影響を 受ける事業者に、地域・業種問わず、固定費負担の支援として、 5か月分の売上高減少額を基準に算定した額を一括給付します。</t>
    <phoneticPr fontId="3"/>
  </si>
  <si>
    <t>簡易エラーチェック項目</t>
    <phoneticPr fontId="3"/>
  </si>
  <si>
    <t>減少率</t>
    <rPh sb="0" eb="3">
      <t>ゲンショウリツ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</si>
  <si>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</si>
  <si>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</si>
  <si>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</si>
  <si>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</si>
  <si>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</si>
  <si>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2021年</t>
    <rPh sb="4" eb="5">
      <t>ネン</t>
    </rPh>
    <phoneticPr fontId="3"/>
  </si>
  <si>
    <t>売上高</t>
    <rPh sb="0" eb="2">
      <t>ウリアゲ</t>
    </rPh>
    <rPh sb="2" eb="3">
      <t>ダカ</t>
    </rPh>
    <phoneticPr fontId="3"/>
  </si>
  <si>
    <t>減少率</t>
    <rPh sb="0" eb="2">
      <t>ゲンショウ</t>
    </rPh>
    <rPh sb="2" eb="3">
      <t>リツ</t>
    </rPh>
    <phoneticPr fontId="3"/>
  </si>
  <si>
    <t>給付額判定</t>
    <rPh sb="0" eb="3">
      <t>キュウフガク</t>
    </rPh>
    <rPh sb="3" eb="5">
      <t>ハンテイ</t>
    </rPh>
    <phoneticPr fontId="3"/>
  </si>
  <si>
    <t>金額</t>
    <rPh sb="0" eb="2">
      <t>キンガク</t>
    </rPh>
    <phoneticPr fontId="3"/>
  </si>
  <si>
    <t>給付金上限額</t>
    <rPh sb="0" eb="3">
      <t>キュウフキン</t>
    </rPh>
    <rPh sb="3" eb="6">
      <t>ジョウゲンガク</t>
    </rPh>
    <phoneticPr fontId="3"/>
  </si>
  <si>
    <t>年月検索キー</t>
    <rPh sb="0" eb="2">
      <t>ネンゲツ</t>
    </rPh>
    <rPh sb="2" eb="4">
      <t>ケンサク</t>
    </rPh>
    <phoneticPr fontId="3"/>
  </si>
  <si>
    <t>最大給付金早見表</t>
    <rPh sb="0" eb="2">
      <t>サイダイ</t>
    </rPh>
    <rPh sb="2" eb="5">
      <t>キュウフキン</t>
    </rPh>
    <rPh sb="5" eb="8">
      <t>ハヤミヒョウ</t>
    </rPh>
    <phoneticPr fontId="3"/>
  </si>
  <si>
    <t>過去売上高入力</t>
    <rPh sb="0" eb="2">
      <t>カコ</t>
    </rPh>
    <rPh sb="2" eb="4">
      <t>ウリアゲ</t>
    </rPh>
    <rPh sb="4" eb="5">
      <t>ダカ</t>
    </rPh>
    <rPh sb="5" eb="7">
      <t>ニュウリョク</t>
    </rPh>
    <phoneticPr fontId="3"/>
  </si>
  <si>
    <t>申請判定</t>
    <rPh sb="0" eb="2">
      <t>シンセイ</t>
    </rPh>
    <rPh sb="2" eb="4">
      <t>ハンテイ</t>
    </rPh>
    <phoneticPr fontId="3"/>
  </si>
  <si>
    <t>基準期間※1の売上高合計</t>
    <rPh sb="0" eb="2">
      <t>キジュン</t>
    </rPh>
    <rPh sb="2" eb="4">
      <t>キカン</t>
    </rPh>
    <rPh sb="7" eb="9">
      <t>ウリアゲ</t>
    </rPh>
    <rPh sb="9" eb="10">
      <t>ダカ</t>
    </rPh>
    <rPh sb="10" eb="12">
      <t>ゴウケイ</t>
    </rPh>
    <phoneticPr fontId="3"/>
  </si>
  <si>
    <t>入力チェック</t>
    <rPh sb="0" eb="2">
      <t>ニュウリョク</t>
    </rPh>
    <phoneticPr fontId="3"/>
  </si>
  <si>
    <t>対象チェック</t>
    <rPh sb="0" eb="2">
      <t>タイショウ</t>
    </rPh>
    <phoneticPr fontId="3"/>
  </si>
  <si>
    <t>法人個人チェック</t>
    <rPh sb="0" eb="2">
      <t>ホウジン</t>
    </rPh>
    <rPh sb="2" eb="4">
      <t>コジン</t>
    </rPh>
    <phoneticPr fontId="3"/>
  </si>
  <si>
    <t>入力</t>
  </si>
  <si>
    <t>給付額（①ー②×５）</t>
    <rPh sb="0" eb="3">
      <t>キュウフガク</t>
    </rPh>
    <phoneticPr fontId="3"/>
  </si>
  <si>
    <t>※入力が不要の場合は入力不要と選択してください。</t>
    <rPh sb="1" eb="3">
      <t>ニュウリョク</t>
    </rPh>
    <rPh sb="4" eb="6">
      <t>フヨウ</t>
    </rPh>
    <rPh sb="7" eb="9">
      <t>バアイ</t>
    </rPh>
    <rPh sb="10" eb="12">
      <t>ニュウリョク</t>
    </rPh>
    <rPh sb="12" eb="14">
      <t>フヨウ</t>
    </rPh>
    <rPh sb="15" eb="17">
      <t>センタク</t>
    </rPh>
    <phoneticPr fontId="3"/>
  </si>
  <si>
    <t>2020年-2021年</t>
    <rPh sb="4" eb="5">
      <t>ネン</t>
    </rPh>
    <phoneticPr fontId="3"/>
  </si>
  <si>
    <t>2019年-2020年</t>
    <rPh sb="4" eb="5">
      <t>ネン</t>
    </rPh>
    <phoneticPr fontId="3"/>
  </si>
  <si>
    <t>2018年-2019年</t>
    <rPh sb="4" eb="5">
      <t>ネン</t>
    </rPh>
    <phoneticPr fontId="3"/>
  </si>
  <si>
    <t>2021年-2022年入力チェック</t>
    <rPh sb="4" eb="5">
      <t>ネン</t>
    </rPh>
    <rPh sb="10" eb="11">
      <t>ネン</t>
    </rPh>
    <rPh sb="11" eb="13">
      <t>ニュウリョク</t>
    </rPh>
    <phoneticPr fontId="3"/>
  </si>
  <si>
    <t>2020計算ロジック用</t>
    <rPh sb="4" eb="6">
      <t>ケイサン</t>
    </rPh>
    <rPh sb="10" eb="11">
      <t>ヨウ</t>
    </rPh>
    <phoneticPr fontId="3"/>
  </si>
  <si>
    <t>2019年計算ロジック</t>
    <rPh sb="4" eb="5">
      <t>ネン</t>
    </rPh>
    <rPh sb="5" eb="7">
      <t>ケイサン</t>
    </rPh>
    <phoneticPr fontId="3"/>
  </si>
  <si>
    <t>201８年計算ロジック</t>
    <rPh sb="4" eb="5">
      <t>ネン</t>
    </rPh>
    <rPh sb="5" eb="7">
      <t>ケイサン</t>
    </rPh>
    <phoneticPr fontId="3"/>
  </si>
  <si>
    <t>2018年-2019年</t>
    <rPh sb="4" eb="5">
      <t>ネン</t>
    </rPh>
    <rPh sb="10" eb="11">
      <t>ネン</t>
    </rPh>
    <phoneticPr fontId="3"/>
  </si>
  <si>
    <t>2019年-2020年</t>
    <rPh sb="4" eb="5">
      <t>ネン</t>
    </rPh>
    <rPh sb="10" eb="11">
      <t>ネン</t>
    </rPh>
    <phoneticPr fontId="3"/>
  </si>
  <si>
    <t>2020年-2021年</t>
    <rPh sb="4" eb="5">
      <t>ネン</t>
    </rPh>
    <rPh sb="10" eb="11">
      <t>ネン</t>
    </rPh>
    <phoneticPr fontId="3"/>
  </si>
  <si>
    <t>申請チェック</t>
    <rPh sb="0" eb="2">
      <t>シンセイ</t>
    </rPh>
    <phoneticPr fontId="3"/>
  </si>
  <si>
    <t>※”＊＊＊＊＊”は要件は満たすが計算がマイナスになります。</t>
    <rPh sb="9" eb="11">
      <t>ヨウケン</t>
    </rPh>
    <rPh sb="12" eb="13">
      <t>ミ</t>
    </rPh>
    <rPh sb="16" eb="18">
      <t>ケイサン</t>
    </rPh>
    <phoneticPr fontId="3"/>
  </si>
  <si>
    <t>会計期間</t>
    <rPh sb="0" eb="2">
      <t>カイケイ</t>
    </rPh>
    <rPh sb="2" eb="4">
      <t>キカン</t>
    </rPh>
    <phoneticPr fontId="3"/>
  </si>
  <si>
    <t>年間売上高</t>
    <rPh sb="0" eb="2">
      <t>ネンカン</t>
    </rPh>
    <rPh sb="2" eb="4">
      <t>ウリアゲ</t>
    </rPh>
    <rPh sb="4" eb="5">
      <t>ダカ</t>
    </rPh>
    <phoneticPr fontId="3"/>
  </si>
  <si>
    <t>会計期間と年間売上高入力</t>
    <rPh sb="0" eb="2">
      <t>カイケイ</t>
    </rPh>
    <rPh sb="2" eb="4">
      <t>キカン</t>
    </rPh>
    <rPh sb="5" eb="7">
      <t>ネンカン</t>
    </rPh>
    <rPh sb="7" eb="9">
      <t>ウリアゲ</t>
    </rPh>
    <rPh sb="9" eb="10">
      <t>ダカ</t>
    </rPh>
    <rPh sb="10" eb="12">
      <t>ニュウリョク</t>
    </rPh>
    <phoneticPr fontId="3"/>
  </si>
  <si>
    <t>■注意事項</t>
    <rPh sb="1" eb="3">
      <t>チュウイ</t>
    </rPh>
    <rPh sb="3" eb="5">
      <t>ジコウ</t>
    </rPh>
    <phoneticPr fontId="18"/>
  </si>
  <si>
    <t>⒈</t>
    <phoneticPr fontId="19"/>
  </si>
  <si>
    <t>このExcelを使用した計算過程や結果等については、作成者は一切の責任を負いません。</t>
    <rPh sb="8" eb="10">
      <t>シヨウ</t>
    </rPh>
    <rPh sb="12" eb="14">
      <t>ケイサン</t>
    </rPh>
    <rPh sb="19" eb="20">
      <t>トウ</t>
    </rPh>
    <rPh sb="26" eb="29">
      <t>サクセイシャ</t>
    </rPh>
    <rPh sb="30" eb="32">
      <t>イッサイ</t>
    </rPh>
    <rPh sb="33" eb="35">
      <t>セキニン</t>
    </rPh>
    <rPh sb="36" eb="37">
      <t>オ</t>
    </rPh>
    <phoneticPr fontId="18"/>
  </si>
  <si>
    <t>すべて使用者の責任において使用してください。</t>
    <rPh sb="3" eb="6">
      <t>シヨウシャ</t>
    </rPh>
    <rPh sb="7" eb="9">
      <t>セキニン</t>
    </rPh>
    <rPh sb="13" eb="15">
      <t>シヨウ</t>
    </rPh>
    <phoneticPr fontId="18"/>
  </si>
  <si>
    <t>⒉</t>
    <phoneticPr fontId="19"/>
  </si>
  <si>
    <t>使用するエクセルのバージョンによっては、読み込みできない場合があります。</t>
    <rPh sb="0" eb="2">
      <t>シヨウ</t>
    </rPh>
    <rPh sb="20" eb="21">
      <t>ヨ</t>
    </rPh>
    <rPh sb="22" eb="23">
      <t>コ</t>
    </rPh>
    <rPh sb="28" eb="30">
      <t>バアイ</t>
    </rPh>
    <phoneticPr fontId="18"/>
  </si>
  <si>
    <t>⒊</t>
    <phoneticPr fontId="19"/>
  </si>
  <si>
    <t>⒋</t>
    <phoneticPr fontId="17"/>
  </si>
  <si>
    <t>■特長</t>
    <rPh sb="1" eb="3">
      <t>トクチョウ</t>
    </rPh>
    <phoneticPr fontId="18"/>
  </si>
  <si>
    <t>このエクセルファイルは事業復活支援金をより簡易的に診断することができるＥｘｃｅｌツールになります。</t>
    <rPh sb="11" eb="13">
      <t>ジギョウ</t>
    </rPh>
    <rPh sb="13" eb="15">
      <t>フッカツ</t>
    </rPh>
    <rPh sb="15" eb="17">
      <t>シエン</t>
    </rPh>
    <rPh sb="17" eb="18">
      <t>キン</t>
    </rPh>
    <rPh sb="21" eb="23">
      <t>カンイ</t>
    </rPh>
    <rPh sb="23" eb="24">
      <t>テキ</t>
    </rPh>
    <rPh sb="25" eb="27">
      <t>シンダン</t>
    </rPh>
    <phoneticPr fontId="17"/>
  </si>
  <si>
    <t>このExcelは、決算年月が過去5期で変更がない且つ1期が12か月であることを前提に作成しております。</t>
    <rPh sb="9" eb="11">
      <t>ケッサン</t>
    </rPh>
    <rPh sb="11" eb="13">
      <t>ネンゲツ</t>
    </rPh>
    <rPh sb="14" eb="16">
      <t>カコ</t>
    </rPh>
    <rPh sb="17" eb="18">
      <t>キ</t>
    </rPh>
    <rPh sb="19" eb="21">
      <t>ヘンコウ</t>
    </rPh>
    <rPh sb="24" eb="25">
      <t>カ</t>
    </rPh>
    <rPh sb="27" eb="28">
      <t>キ</t>
    </rPh>
    <rPh sb="32" eb="33">
      <t>ゲツ</t>
    </rPh>
    <rPh sb="39" eb="41">
      <t>ゼンテイ</t>
    </rPh>
    <rPh sb="42" eb="44">
      <t>サクセイ</t>
    </rPh>
    <phoneticPr fontId="19"/>
  </si>
  <si>
    <t>そのため1期が12か月ではない場合は、うまく動作しない場合があります。</t>
    <rPh sb="5" eb="6">
      <t>キ</t>
    </rPh>
    <rPh sb="10" eb="11">
      <t>ゲツ</t>
    </rPh>
    <rPh sb="15" eb="17">
      <t>バアイ</t>
    </rPh>
    <rPh sb="22" eb="24">
      <t>ドウサ</t>
    </rPh>
    <rPh sb="27" eb="29">
      <t>バアイ</t>
    </rPh>
    <phoneticPr fontId="19"/>
  </si>
  <si>
    <t>”事業復活支援金の概要について”2022年1月18日時点版を元に作成しております。</t>
    <rPh sb="30" eb="31">
      <t>モト</t>
    </rPh>
    <rPh sb="32" eb="34">
      <t>サクセイ</t>
    </rPh>
    <phoneticPr fontId="19"/>
  </si>
  <si>
    <t>各年度ごとの最大の給付額が自動判定されさらに年度の中で一番高いものが”最適”と表示されるようになっております。</t>
    <rPh sb="0" eb="1">
      <t>カク</t>
    </rPh>
    <rPh sb="1" eb="3">
      <t>ネンド</t>
    </rPh>
    <rPh sb="6" eb="8">
      <t>サイダイ</t>
    </rPh>
    <rPh sb="9" eb="11">
      <t>キュウフ</t>
    </rPh>
    <rPh sb="11" eb="12">
      <t>ガク</t>
    </rPh>
    <rPh sb="13" eb="15">
      <t>ジドウ</t>
    </rPh>
    <rPh sb="15" eb="17">
      <t>ハンテイ</t>
    </rPh>
    <rPh sb="22" eb="24">
      <t>ネンド</t>
    </rPh>
    <rPh sb="25" eb="26">
      <t>ナカ</t>
    </rPh>
    <rPh sb="27" eb="29">
      <t>イチバン</t>
    </rPh>
    <rPh sb="29" eb="30">
      <t>タカ</t>
    </rPh>
    <rPh sb="35" eb="37">
      <t>サイテキ</t>
    </rPh>
    <rPh sb="39" eb="41">
      <t>ヒョウジ</t>
    </rPh>
    <phoneticPr fontId="17"/>
  </si>
  <si>
    <t>https://www.meti.go.jp/covid-19/jigyo_fukkatsu/pdf/summary.pdf</t>
    <phoneticPr fontId="3"/>
  </si>
  <si>
    <t>Ｍ列からP列に各年月ごとに要件が満たしている場合は、給付額が表示されるようになっております。</t>
    <rPh sb="1" eb="2">
      <t>レツ</t>
    </rPh>
    <rPh sb="5" eb="6">
      <t>レツ</t>
    </rPh>
    <rPh sb="7" eb="8">
      <t>カク</t>
    </rPh>
    <rPh sb="8" eb="10">
      <t>ネンゲツ</t>
    </rPh>
    <rPh sb="13" eb="15">
      <t>ヨウケン</t>
    </rPh>
    <rPh sb="16" eb="17">
      <t>ミ</t>
    </rPh>
    <rPh sb="22" eb="24">
      <t>バアイ</t>
    </rPh>
    <rPh sb="26" eb="28">
      <t>キュウフ</t>
    </rPh>
    <rPh sb="28" eb="29">
      <t>ガク</t>
    </rPh>
    <rPh sb="30" eb="32">
      <t>ヒョウジ</t>
    </rPh>
    <phoneticPr fontId="3"/>
  </si>
  <si>
    <t>Vol</t>
    <phoneticPr fontId="17"/>
  </si>
  <si>
    <t>更新日時</t>
    <rPh sb="0" eb="2">
      <t>コウシン</t>
    </rPh>
    <rPh sb="2" eb="4">
      <t>ニチジ</t>
    </rPh>
    <phoneticPr fontId="23"/>
  </si>
  <si>
    <t>内容</t>
    <rPh sb="0" eb="2">
      <t>ナイヨウ</t>
    </rPh>
    <phoneticPr fontId="23"/>
  </si>
  <si>
    <t>資料作成</t>
    <rPh sb="0" eb="2">
      <t>シリョウ</t>
    </rPh>
    <rPh sb="2" eb="4">
      <t>サクセイ</t>
    </rPh>
    <phoneticPr fontId="19"/>
  </si>
  <si>
    <t>2月・3月の判定を対象外としていたが、0円または空白の場合は、対象外とし数値入力した場合は判定できるように変更しました。</t>
    <rPh sb="1" eb="2">
      <t>ガツ</t>
    </rPh>
    <rPh sb="4" eb="5">
      <t>ガツ</t>
    </rPh>
    <rPh sb="6" eb="8">
      <t>ハンテイ</t>
    </rPh>
    <rPh sb="9" eb="12">
      <t>タイショウガイ</t>
    </rPh>
    <rPh sb="20" eb="21">
      <t>エン</t>
    </rPh>
    <rPh sb="24" eb="26">
      <t>クウハク</t>
    </rPh>
    <rPh sb="27" eb="29">
      <t>バアイ</t>
    </rPh>
    <rPh sb="31" eb="33">
      <t>タイショウ</t>
    </rPh>
    <rPh sb="33" eb="34">
      <t>ガイ</t>
    </rPh>
    <rPh sb="36" eb="38">
      <t>スウチ</t>
    </rPh>
    <rPh sb="38" eb="40">
      <t>ニュウリョク</t>
    </rPh>
    <rPh sb="42" eb="44">
      <t>バアイ</t>
    </rPh>
    <rPh sb="45" eb="47">
      <t>ハンテイ</t>
    </rPh>
    <rPh sb="53" eb="55">
      <t>ヘンコウ</t>
    </rPh>
    <phoneticPr fontId="3"/>
  </si>
  <si>
    <t>23・38・53行の対象チェックの関数に誤りがあったため修正を行いました。</t>
    <rPh sb="8" eb="9">
      <t>ギョウ</t>
    </rPh>
    <rPh sb="10" eb="12">
      <t>タイショウ</t>
    </rPh>
    <rPh sb="17" eb="19">
      <t>カンスウ</t>
    </rPh>
    <rPh sb="20" eb="21">
      <t>アヤマ</t>
    </rPh>
    <rPh sb="28" eb="30">
      <t>シュウセイ</t>
    </rPh>
    <rPh sb="31" eb="32">
      <t>オコナ</t>
    </rPh>
    <phoneticPr fontId="3"/>
  </si>
  <si>
    <t>このExcellは、Microsoft® Excel® 2019で作成しています。（拡張子.xlsx）</t>
    <rPh sb="33" eb="35">
      <t>サクセイ</t>
    </rPh>
    <rPh sb="42" eb="45">
      <t>カクチョウシ</t>
    </rPh>
    <phoneticPr fontId="18"/>
  </si>
  <si>
    <t>⒌</t>
    <phoneticPr fontId="3"/>
  </si>
  <si>
    <t>給付額の計算や対象月の該当性判断に当たっては、売上高に、</t>
    <rPh sb="23" eb="25">
      <t>ウリアゲ</t>
    </rPh>
    <rPh sb="25" eb="26">
      <t>ダカ</t>
    </rPh>
    <phoneticPr fontId="3"/>
  </si>
  <si>
    <t>新型コロナウイルス感染症対策として国又は地方公共団体による支援施策により得た給付金、補助金、助成金等が含まれる年又は月については、その額を除いた金額を入力して下さい。</t>
    <rPh sb="75" eb="77">
      <t>ニュウリョク</t>
    </rPh>
    <rPh sb="79" eb="80">
      <t>クダ</t>
    </rPh>
    <phoneticPr fontId="3"/>
  </si>
  <si>
    <t>関連する給付金・補助金や、新型コロナウイルス感染症対策として地方公共団体による休業・営業時間短縮に伴い支払われる協力金などが挙げられます。</t>
    <phoneticPr fontId="3"/>
  </si>
  <si>
    <t>（控除すべき給付金等の例）</t>
    <phoneticPr fontId="3"/>
  </si>
  <si>
    <t>持続化給付金や家賃支援給付金、一時支援金、月次支援金、 J-LODlive補助金を含めた新型コロナウイルス感染症対策に</t>
    <phoneticPr fontId="3"/>
  </si>
  <si>
    <t>⒍</t>
    <phoneticPr fontId="3"/>
  </si>
  <si>
    <t>ただし、対象月中に、地方公共団体による休業や営業時間短縮の要請等（「時短要請等」）に応じており、その協力金等（※１）を受給する場合は、</t>
    <phoneticPr fontId="3"/>
  </si>
  <si>
    <t xml:space="preserve">※１　時短要請等に応じた者に対して支出する金銭をいい、新型コロナウイルス感染症対応地方創生臨時交付金のうち協力要請推進枠交付金が充てられるものをいう。
</t>
    <phoneticPr fontId="3"/>
  </si>
  <si>
    <t>※２　協力金等を申請予定又は申請中であって未受給の場合は、申請者が申請して受給を見込む額を用います。</t>
    <phoneticPr fontId="3"/>
  </si>
  <si>
    <t>受給した協力金等の額（※２）のうち、「対象月中に時短要請等に応じた分」に相当する額を対象月の月次の売上高に加えた額を用います。</t>
    <rPh sb="46" eb="48">
      <t>ゲツジ</t>
    </rPh>
    <rPh sb="49" eb="51">
      <t>ウリアゲ</t>
    </rPh>
    <rPh sb="51" eb="52">
      <t>ダカ</t>
    </rPh>
    <phoneticPr fontId="3"/>
  </si>
  <si>
    <t>D56:D62の斜めの罫線を削除しました。</t>
    <rPh sb="8" eb="9">
      <t>ナナ</t>
    </rPh>
    <rPh sb="11" eb="13">
      <t>ケイセン</t>
    </rPh>
    <rPh sb="14" eb="16">
      <t>サクジョ</t>
    </rPh>
    <phoneticPr fontId="3"/>
  </si>
  <si>
    <t>注意事項の５・６追記を行いました。</t>
    <rPh sb="0" eb="2">
      <t>チュウイ</t>
    </rPh>
    <rPh sb="2" eb="4">
      <t>ジコウ</t>
    </rPh>
    <rPh sb="8" eb="10">
      <t>ツイキ</t>
    </rPh>
    <rPh sb="11" eb="12">
      <t>オコナ</t>
    </rPh>
    <phoneticPr fontId="3"/>
  </si>
  <si>
    <t>E22:E26の表示するエラーを年月を表示する仕様へ変更いたしました。</t>
    <rPh sb="8" eb="10">
      <t>ヒョウジ</t>
    </rPh>
    <rPh sb="16" eb="18">
      <t>ネンゲツ</t>
    </rPh>
    <rPh sb="19" eb="21">
      <t>ヒョウジ</t>
    </rPh>
    <rPh sb="23" eb="25">
      <t>シヨウ</t>
    </rPh>
    <rPh sb="26" eb="28">
      <t>ヘンコウ</t>
    </rPh>
    <phoneticPr fontId="3"/>
  </si>
  <si>
    <t>2021年-2022年</t>
    <phoneticPr fontId="3"/>
  </si>
  <si>
    <t>2021年-2022年が0円の場合は、対象外としていたが、判定できるように変更しました。</t>
    <rPh sb="13" eb="14">
      <t>エン</t>
    </rPh>
    <rPh sb="15" eb="17">
      <t>バアイ</t>
    </rPh>
    <rPh sb="19" eb="22">
      <t>タイショウガイ</t>
    </rPh>
    <rPh sb="29" eb="31">
      <t>ハンテイ</t>
    </rPh>
    <rPh sb="37" eb="39">
      <t>ヘンコウ</t>
    </rPh>
    <phoneticPr fontId="3"/>
  </si>
  <si>
    <t>2021年-2022年　列の入力チェックの仕様を変更しました。</t>
    <rPh sb="12" eb="13">
      <t>レツ</t>
    </rPh>
    <rPh sb="14" eb="16">
      <t>ニュウリョク</t>
    </rPh>
    <rPh sb="21" eb="23">
      <t>シヨウ</t>
    </rPh>
    <rPh sb="24" eb="26">
      <t>ヘンコウ</t>
    </rPh>
    <phoneticPr fontId="3"/>
  </si>
  <si>
    <t>対象月の2021年-2022年　の条件付き書式の仕様を変更しました。</t>
    <rPh sb="0" eb="3">
      <t>タイショウツキ</t>
    </rPh>
    <rPh sb="17" eb="20">
      <t>ジョウケンツ</t>
    </rPh>
    <rPh sb="21" eb="23">
      <t>ショシキ</t>
    </rPh>
    <rPh sb="24" eb="26">
      <t>シヨウ</t>
    </rPh>
    <rPh sb="27" eb="29">
      <t>ヘンコウ</t>
    </rPh>
    <phoneticPr fontId="3"/>
  </si>
  <si>
    <t>2021年-2022年が空白の場合は、対象外判定できるように変更しました。</t>
    <rPh sb="12" eb="14">
      <t>クウハク</t>
    </rPh>
    <rPh sb="15" eb="17">
      <t>バアイ</t>
    </rPh>
    <rPh sb="19" eb="22">
      <t>タイショウガイ</t>
    </rPh>
    <rPh sb="22" eb="24">
      <t>ハンテイ</t>
    </rPh>
    <rPh sb="30" eb="32">
      <t>ヘンコウ</t>
    </rPh>
    <phoneticPr fontId="3"/>
  </si>
  <si>
    <t>対象月</t>
    <rPh sb="0" eb="3">
      <t>タイショウツキ</t>
    </rPh>
    <phoneticPr fontId="3"/>
  </si>
  <si>
    <t>基準月</t>
    <rPh sb="0" eb="2">
      <t>キジュン</t>
    </rPh>
    <rPh sb="2" eb="3">
      <t>ツキ</t>
    </rPh>
    <phoneticPr fontId="3"/>
  </si>
  <si>
    <t>基準期間</t>
    <rPh sb="0" eb="2">
      <t>キジュン</t>
    </rPh>
    <rPh sb="2" eb="4">
      <t>キカン</t>
    </rPh>
    <phoneticPr fontId="3"/>
  </si>
  <si>
    <t>給付額 ＝（基準期間の11,12月を含む年の年間事業収入）÷１２×２＋（基準期間の1,2,3月を含む年の年間事業収入）÷１２×３ー（対象月の月間事業収入）×５</t>
    <phoneticPr fontId="3"/>
  </si>
  <si>
    <t>青色申告一般用以外　※白色申告等</t>
    <phoneticPr fontId="3"/>
  </si>
  <si>
    <t>年間売上高入力</t>
    <rPh sb="0" eb="2">
      <t>ネンカン</t>
    </rPh>
    <rPh sb="2" eb="4">
      <t>ウリアゲ</t>
    </rPh>
    <rPh sb="4" eb="5">
      <t>ダカ</t>
    </rPh>
    <rPh sb="5" eb="7">
      <t>ニュウリョク</t>
    </rPh>
    <phoneticPr fontId="3"/>
  </si>
  <si>
    <t>2021年度</t>
    <rPh sb="4" eb="5">
      <t>ネン</t>
    </rPh>
    <rPh sb="5" eb="6">
      <t>ド</t>
    </rPh>
    <phoneticPr fontId="3"/>
  </si>
  <si>
    <t>2020年度</t>
    <rPh sb="4" eb="5">
      <t>ネン</t>
    </rPh>
    <rPh sb="5" eb="6">
      <t>ド</t>
    </rPh>
    <phoneticPr fontId="3"/>
  </si>
  <si>
    <t>2019年度</t>
    <rPh sb="4" eb="5">
      <t>ネン</t>
    </rPh>
    <rPh sb="5" eb="6">
      <t>ド</t>
    </rPh>
    <phoneticPr fontId="3"/>
  </si>
  <si>
    <t>2018年度</t>
    <rPh sb="4" eb="5">
      <t>ネン</t>
    </rPh>
    <rPh sb="5" eb="6">
      <t>ド</t>
    </rPh>
    <phoneticPr fontId="3"/>
  </si>
  <si>
    <t>202０年度</t>
    <rPh sb="4" eb="5">
      <t>ネン</t>
    </rPh>
    <rPh sb="5" eb="6">
      <t>ド</t>
    </rPh>
    <phoneticPr fontId="3"/>
  </si>
  <si>
    <t>2021計算ロジック用</t>
    <rPh sb="4" eb="6">
      <t>ケイサン</t>
    </rPh>
    <rPh sb="10" eb="11">
      <t>ヨウ</t>
    </rPh>
    <phoneticPr fontId="3"/>
  </si>
  <si>
    <t>2020年計算ロジック</t>
    <rPh sb="4" eb="5">
      <t>ネン</t>
    </rPh>
    <rPh sb="5" eb="7">
      <t>ケイサン</t>
    </rPh>
    <phoneticPr fontId="3"/>
  </si>
  <si>
    <t>基準期間月商</t>
    <rPh sb="0" eb="2">
      <t>キジュン</t>
    </rPh>
    <rPh sb="2" eb="4">
      <t>キカン</t>
    </rPh>
    <rPh sb="4" eb="6">
      <t>ゲッショウ</t>
    </rPh>
    <phoneticPr fontId="3"/>
  </si>
  <si>
    <t>基準期間の11,12月を含む年</t>
    <rPh sb="0" eb="2">
      <t>キジュン</t>
    </rPh>
    <rPh sb="2" eb="4">
      <t>キカン</t>
    </rPh>
    <rPh sb="10" eb="11">
      <t>ガツ</t>
    </rPh>
    <rPh sb="12" eb="13">
      <t>フク</t>
    </rPh>
    <rPh sb="14" eb="15">
      <t>ネン</t>
    </rPh>
    <phoneticPr fontId="3"/>
  </si>
  <si>
    <t>年間事業収入A</t>
    <phoneticPr fontId="3"/>
  </si>
  <si>
    <t>年間事業収入A'</t>
    <phoneticPr fontId="3"/>
  </si>
  <si>
    <t>基準期間の1,2,3月を含む年</t>
    <rPh sb="0" eb="2">
      <t>キジュン</t>
    </rPh>
    <rPh sb="2" eb="4">
      <t>キカン</t>
    </rPh>
    <rPh sb="10" eb="11">
      <t>ガツ</t>
    </rPh>
    <rPh sb="12" eb="13">
      <t>フク</t>
    </rPh>
    <rPh sb="14" eb="15">
      <t>ネン</t>
    </rPh>
    <phoneticPr fontId="3"/>
  </si>
  <si>
    <t>28行目の入力・入力不要の条件付き書式の仕様を追加しました。</t>
    <rPh sb="2" eb="3">
      <t>ギョウ</t>
    </rPh>
    <rPh sb="3" eb="4">
      <t>メ</t>
    </rPh>
    <rPh sb="5" eb="7">
      <t>ニュウリョク</t>
    </rPh>
    <rPh sb="8" eb="10">
      <t>ニュウリョク</t>
    </rPh>
    <rPh sb="10" eb="12">
      <t>フヨウ</t>
    </rPh>
    <rPh sb="13" eb="15">
      <t>ジョウケン</t>
    </rPh>
    <rPh sb="15" eb="16">
      <t>ツ</t>
    </rPh>
    <rPh sb="17" eb="19">
      <t>ショシキ</t>
    </rPh>
    <rPh sb="20" eb="22">
      <t>シヨウ</t>
    </rPh>
    <rPh sb="23" eb="25">
      <t>ツイカ</t>
    </rPh>
    <phoneticPr fontId="3"/>
  </si>
  <si>
    <t>売上高入力</t>
    <rPh sb="0" eb="2">
      <t>ウリアゲ</t>
    </rPh>
    <rPh sb="2" eb="3">
      <t>ダカ</t>
    </rPh>
    <rPh sb="3" eb="5">
      <t>ニュウリョク</t>
    </rPh>
    <phoneticPr fontId="3"/>
  </si>
  <si>
    <t>基準月を含む事業年度の年間事業収入</t>
    <rPh sb="0" eb="2">
      <t>キジュン</t>
    </rPh>
    <rPh sb="2" eb="3">
      <t>ツキ</t>
    </rPh>
    <rPh sb="4" eb="5">
      <t>フク</t>
    </rPh>
    <rPh sb="6" eb="8">
      <t>ジギョウ</t>
    </rPh>
    <rPh sb="8" eb="10">
      <t>ネンド</t>
    </rPh>
    <rPh sb="11" eb="13">
      <t>ネンカン</t>
    </rPh>
    <rPh sb="13" eb="15">
      <t>ジギョウ</t>
    </rPh>
    <rPh sb="15" eb="17">
      <t>シュウニュウ</t>
    </rPh>
    <phoneticPr fontId="3"/>
  </si>
  <si>
    <t>③基準月事業収入</t>
    <rPh sb="4" eb="6">
      <t>ジギョウ</t>
    </rPh>
    <rPh sb="6" eb="8">
      <t>シュウニュウ</t>
    </rPh>
    <phoneticPr fontId="3"/>
  </si>
  <si>
    <t>基準月を含む事業年度の月数</t>
    <rPh sb="0" eb="2">
      <t>キジュン</t>
    </rPh>
    <rPh sb="2" eb="3">
      <t>ツキ</t>
    </rPh>
    <rPh sb="4" eb="5">
      <t>フク</t>
    </rPh>
    <rPh sb="6" eb="8">
      <t>ジギョウ</t>
    </rPh>
    <rPh sb="8" eb="10">
      <t>ネンド</t>
    </rPh>
    <rPh sb="11" eb="13">
      <t>ツキスウ</t>
    </rPh>
    <phoneticPr fontId="3"/>
  </si>
  <si>
    <t>個人事業主白色も対応いたしました。</t>
    <rPh sb="0" eb="2">
      <t>コジン</t>
    </rPh>
    <rPh sb="2" eb="5">
      <t>ジギョウヌシ</t>
    </rPh>
    <rPh sb="5" eb="7">
      <t>シロイロ</t>
    </rPh>
    <rPh sb="8" eb="10">
      <t>タイオウ</t>
    </rPh>
    <phoneticPr fontId="3"/>
  </si>
  <si>
    <t xml:space="preserve">    </t>
    <phoneticPr fontId="3"/>
  </si>
  <si>
    <t>H57に対象月が空白の場合は、その年月は判定していない記載を追記しました。</t>
    <rPh sb="4" eb="6">
      <t>タイショウ</t>
    </rPh>
    <rPh sb="6" eb="7">
      <t>ツキ</t>
    </rPh>
    <rPh sb="8" eb="10">
      <t>クウハク</t>
    </rPh>
    <rPh sb="11" eb="13">
      <t>バアイ</t>
    </rPh>
    <rPh sb="17" eb="19">
      <t>ネンゲツ</t>
    </rPh>
    <rPh sb="20" eb="22">
      <t>ハンテイ</t>
    </rPh>
    <rPh sb="27" eb="29">
      <t>キサイ</t>
    </rPh>
    <rPh sb="30" eb="32">
      <t>ツイキ</t>
    </rPh>
    <phoneticPr fontId="3"/>
  </si>
  <si>
    <t>5期分の年間売上高と対象月11月－3月と基準月の過去3年分11月－3月の期間を入力することによって</t>
    <rPh sb="1" eb="2">
      <t>キ</t>
    </rPh>
    <rPh sb="2" eb="3">
      <t>ブン</t>
    </rPh>
    <rPh sb="4" eb="6">
      <t>ネンカン</t>
    </rPh>
    <rPh sb="6" eb="8">
      <t>ウリアゲ</t>
    </rPh>
    <rPh sb="8" eb="9">
      <t>ダカ</t>
    </rPh>
    <rPh sb="10" eb="12">
      <t>タイショウ</t>
    </rPh>
    <rPh sb="12" eb="13">
      <t>ツキ</t>
    </rPh>
    <rPh sb="15" eb="16">
      <t>ガツ</t>
    </rPh>
    <rPh sb="18" eb="19">
      <t>ガツ</t>
    </rPh>
    <rPh sb="20" eb="22">
      <t>キジュン</t>
    </rPh>
    <rPh sb="22" eb="23">
      <t>ツキ</t>
    </rPh>
    <rPh sb="24" eb="26">
      <t>カコ</t>
    </rPh>
    <rPh sb="27" eb="29">
      <t>ネンブン</t>
    </rPh>
    <rPh sb="31" eb="32">
      <t>ガツ</t>
    </rPh>
    <rPh sb="34" eb="35">
      <t>ガツ</t>
    </rPh>
    <rPh sb="36" eb="38">
      <t>キカン</t>
    </rPh>
    <rPh sb="39" eb="41">
      <t>ニュウリョク</t>
    </rPh>
    <phoneticPr fontId="18"/>
  </si>
  <si>
    <t>特徴の記載を変更しました。</t>
    <rPh sb="0" eb="2">
      <t>トクチョウ</t>
    </rPh>
    <rPh sb="3" eb="5">
      <t>キサイ</t>
    </rPh>
    <rPh sb="6" eb="8">
      <t>ヘンコウ</t>
    </rPh>
    <phoneticPr fontId="3"/>
  </si>
  <si>
    <t>4期分の年間売上高と対象月11月－3月を入力することによって</t>
    <rPh sb="1" eb="2">
      <t>キ</t>
    </rPh>
    <rPh sb="2" eb="3">
      <t>ブン</t>
    </rPh>
    <rPh sb="4" eb="6">
      <t>ネンカン</t>
    </rPh>
    <rPh sb="6" eb="8">
      <t>ウリアゲ</t>
    </rPh>
    <rPh sb="8" eb="9">
      <t>ダカ</t>
    </rPh>
    <rPh sb="10" eb="12">
      <t>タイショウ</t>
    </rPh>
    <rPh sb="12" eb="13">
      <t>ツキ</t>
    </rPh>
    <rPh sb="15" eb="16">
      <t>ガツ</t>
    </rPh>
    <rPh sb="18" eb="19">
      <t>ガツ</t>
    </rPh>
    <rPh sb="20" eb="22">
      <t>ニュウリョク</t>
    </rPh>
    <phoneticPr fontId="18"/>
  </si>
  <si>
    <t>②対象月事業収入</t>
    <rPh sb="4" eb="6">
      <t>ジギョウ</t>
    </rPh>
    <rPh sb="6" eb="8">
      <t>シュウニュウ</t>
    </rPh>
    <phoneticPr fontId="3"/>
  </si>
  <si>
    <t>対象月事業収入×５</t>
    <rPh sb="3" eb="5">
      <t>ジギョウ</t>
    </rPh>
    <rPh sb="5" eb="7">
      <t>シュウニュウ</t>
    </rPh>
    <phoneticPr fontId="3"/>
  </si>
  <si>
    <t>申請フォームに入力する項目となります。</t>
    <rPh sb="0" eb="2">
      <t>シンセイ</t>
    </rPh>
    <rPh sb="7" eb="9">
      <t>ニュウリョク</t>
    </rPh>
    <rPh sb="11" eb="13">
      <t>コウモク</t>
    </rPh>
    <phoneticPr fontId="3"/>
  </si>
  <si>
    <t>減収率((③-②)÷③×100)</t>
    <rPh sb="0" eb="2">
      <t>ゲンシュウ</t>
    </rPh>
    <rPh sb="2" eb="3">
      <t>リツ</t>
    </rPh>
    <phoneticPr fontId="3"/>
  </si>
  <si>
    <t>減収率(1-(②÷AまたはA’÷12)×100)</t>
    <rPh sb="0" eb="2">
      <t>ゲンシュウ</t>
    </rPh>
    <rPh sb="2" eb="3">
      <t>リツ</t>
    </rPh>
    <phoneticPr fontId="3"/>
  </si>
  <si>
    <t>②対象月の月間事業収入B</t>
    <rPh sb="4" eb="6">
      <t>ゲッカン</t>
    </rPh>
    <rPh sb="7" eb="9">
      <t>ジギョウ</t>
    </rPh>
    <rPh sb="9" eb="11">
      <t>シュウニュウ</t>
    </rPh>
    <phoneticPr fontId="3"/>
  </si>
  <si>
    <t>給付額判定の表示を申請する際にわかりやすい様式へ変更しました。</t>
    <rPh sb="0" eb="3">
      <t>キュウフガク</t>
    </rPh>
    <rPh sb="3" eb="5">
      <t>ハンテイ</t>
    </rPh>
    <rPh sb="6" eb="8">
      <t>ヒョウジ</t>
    </rPh>
    <rPh sb="9" eb="11">
      <t>シンセイ</t>
    </rPh>
    <rPh sb="13" eb="14">
      <t>サイ</t>
    </rPh>
    <rPh sb="21" eb="23">
      <t>ヨウシキ</t>
    </rPh>
    <rPh sb="24" eb="26">
      <t>ヘンコウ</t>
    </rPh>
    <phoneticPr fontId="3"/>
  </si>
  <si>
    <t>基準月が１つでも未入力の場合は、E44F44G44の判定する仕様を変更しました。</t>
    <rPh sb="0" eb="2">
      <t>キジュン</t>
    </rPh>
    <rPh sb="2" eb="3">
      <t>ツキ</t>
    </rPh>
    <rPh sb="8" eb="11">
      <t>ミニュウリョク</t>
    </rPh>
    <rPh sb="12" eb="14">
      <t>バアイ</t>
    </rPh>
    <rPh sb="26" eb="28">
      <t>ハンテイ</t>
    </rPh>
    <rPh sb="30" eb="32">
      <t>シヨウ</t>
    </rPh>
    <rPh sb="33" eb="35">
      <t>ヘンコウ</t>
    </rPh>
    <phoneticPr fontId="3"/>
  </si>
  <si>
    <t>■その他</t>
    <rPh sb="3" eb="4">
      <t>ホカ</t>
    </rPh>
    <phoneticPr fontId="3"/>
  </si>
  <si>
    <t>事業復活支援金要件判定エクセル　解説動画</t>
    <rPh sb="16" eb="18">
      <t>カイセツ</t>
    </rPh>
    <rPh sb="18" eb="20">
      <t>ドウガ</t>
    </rPh>
    <phoneticPr fontId="3"/>
  </si>
  <si>
    <t>https://vimeo.com/668100319/d100761449</t>
    <phoneticPr fontId="3"/>
  </si>
  <si>
    <t>判定シートの基準月を含む事業年度の年間事業収入の2019年-2020年列の表示形式が％表示から数値へ書式の変更を行いました。</t>
    <rPh sb="0" eb="2">
      <t>ハンテイ</t>
    </rPh>
    <rPh sb="35" eb="36">
      <t>レツ</t>
    </rPh>
    <rPh sb="37" eb="39">
      <t>ヒョウジ</t>
    </rPh>
    <rPh sb="39" eb="41">
      <t>ケイシキ</t>
    </rPh>
    <rPh sb="43" eb="45">
      <t>ヒョウジ</t>
    </rPh>
    <rPh sb="47" eb="49">
      <t>スウチ</t>
    </rPh>
    <rPh sb="50" eb="52">
      <t>ショシキ</t>
    </rPh>
    <rPh sb="53" eb="55">
      <t>ヘンコウ</t>
    </rPh>
    <rPh sb="56" eb="57">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</si>
</sst>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yyyy&quot;年&quot;m&quot;月&quot;;@"/>
    <numFmt numFmtId="177" formatCode="#,##0&quot;%&quot;;&quot;▲ &quot;#,##0&quot;%&quot;"/>
    <numFmt numFmtId="178" formatCode="#,##0;&quot;▲ &quot;#,##0"/>
    <numFmt numFmtId="179" formatCode="yyyy&quot;年&quot;m&quot;月期&quot;;@"/>
    <numFmt numFmtId="180" formatCode="yyyy/m/d;@"/>
    <numFmt numFmtId="181" formatCode="#,##0.000;[Red]\-#,##0.000"/>
    <numFmt numFmtId="182" formatCode="mm"/>
    <numFmt numFmtId="183" formatCode="mm&quot;カ月&quot;"/>
    <numFmt numFmtId="184" formatCode="m&quot;月&quot;"/>
  </numFmts>
  <fonts count="28" x14ac:knownFonts="1">
    <font>
      <sz val="11"/>
      <color theme="1"/>
      <name val="游ゴシック"/>
      <family val="2"/>
      <charset val="128"/>
      <scheme val="minor"/>
    </font>
    <font>
      <sz val="11"/>
      <color theme="1"/>
      <name val="游ゴシック"/>
      <family val="2"/>
      <charset val="128"/>
      <scheme val="minor"/>
    </font>
    <font>
      <b/>
      <sz val="21"/>
      <color rgb="FF111111"/>
      <name val="BIZ UDPゴシック"/>
      <family val="3"/>
      <charset val="128"/>
    </font>
    <font>
      <sz val="6"/>
      <name val="游ゴシック"/>
      <family val="2"/>
      <charset val="128"/>
      <scheme val="minor"/>
    </font>
    <font>
      <sz val="11"/>
      <color theme="1"/>
      <name val="BIZ UDPゴシック"/>
      <family val="3"/>
      <charset val="128"/>
    </font>
    <font>
      <sz val="11"/>
      <color rgb="FFFF0000"/>
      <name val="BIZ UDPゴシック"/>
      <family val="3"/>
      <charset val="128"/>
    </font>
    <font>
      <sz val="11"/>
      <color theme="0"/>
      <name val="BIZ UDPゴシック"/>
      <family val="3"/>
      <charset val="128"/>
    </font>
    <font>
      <sz val="6"/>
      <color theme="1"/>
      <name val="BIZ UDPゴシック"/>
      <family val="3"/>
      <charset val="128"/>
    </font>
    <font>
      <sz val="8"/>
      <color theme="1"/>
      <name val="BIZ UDPゴシック"/>
      <family val="3"/>
      <charset val="128"/>
    </font>
    <font>
      <sz val="9"/>
      <color rgb="FF000000"/>
      <name val="Meiryo UI"/>
      <family val="3"/>
      <charset val="128"/>
    </font>
    <font>
      <b/>
      <sz val="18"/>
      <color rgb="FF111111"/>
      <name val="BIZ UDPゴシック"/>
      <family val="3"/>
      <charset val="128"/>
    </font>
    <font>
      <sz val="10"/>
      <color rgb="FFFF0000"/>
      <name val="BIZ UDPゴシック"/>
      <family val="3"/>
      <charset val="128"/>
    </font>
    <font>
      <b/>
      <sz val="11"/>
      <color theme="0"/>
      <name val="BIZ UDPゴシック"/>
      <family val="3"/>
      <charset val="128"/>
    </font>
    <font>
      <b/>
      <sz val="11"/>
      <color rgb="FFC00000"/>
      <name val="BIZ UDPゴシック"/>
      <family val="3"/>
      <charset val="128"/>
    </font>
    <font>
      <sz val="11"/>
      <color theme="1"/>
      <name val="游ゴシック"/>
      <family val="3"/>
      <charset val="128"/>
      <scheme val="minor"/>
    </font>
    <font>
      <sz val="11"/>
      <color theme="1"/>
      <name val="Meiryo UI"/>
      <family val="3"/>
      <charset val="128"/>
    </font>
    <font>
      <b/>
      <sz val="11"/>
      <color rgb="FF0000FF"/>
      <name val="Meiryo UI"/>
      <family val="3"/>
      <charset val="128"/>
    </font>
    <font>
      <sz val="6"/>
      <name val="ＭＳ Ｐゴシック"/>
      <family val="3"/>
      <charset val="128"/>
    </font>
    <font>
      <sz val="11"/>
      <name val="ＭＳ Ｐゴシック"/>
      <family val="3"/>
      <charset val="128"/>
    </font>
    <font>
      <sz val="6"/>
      <name val="游ゴシック"/>
      <family val="3"/>
      <charset val="128"/>
    </font>
    <font>
      <u/>
      <sz val="11"/>
      <color theme="10"/>
      <name val="游ゴシック"/>
      <family val="2"/>
      <charset val="128"/>
      <scheme val="minor"/>
    </font>
    <font>
      <sz val="11"/>
      <name val="ＭＳ ゴシック"/>
      <family val="3"/>
      <charset val="128"/>
    </font>
    <font>
      <sz val="9"/>
      <name val="Meiryo UI"/>
      <family val="3"/>
      <charset val="128"/>
    </font>
    <font>
      <sz val="6"/>
      <name val="ＭＳ ゴシック"/>
      <family val="3"/>
      <charset val="128"/>
    </font>
    <font>
      <sz val="11"/>
      <color theme="1"/>
      <name val="Meiryo UI"/>
      <family val="3"/>
      <charset val="1"/>
    </font>
    <font>
      <u/>
      <sz val="11"/>
      <color theme="10"/>
      <name val="Meiryo UI"/>
      <family val="3"/>
      <charset val="128"/>
    </font>
    <font>
      <sz val="11"/>
      <name val="Meiryo UI"/>
      <family val="3"/>
      <charset val="128"/>
    </font>
    <font>
      <sz val="9"/>
      <color theme="1"/>
      <name val="BIZ UDPゴシック"/>
      <family val="3"/>
      <charset val="128"/>
    </font>
  </fonts>
  <fills count="9">
    <fill>
      <patternFill patternType="none"/>
    </fill>
    <fill>
      <patternFill patternType="gray125"/>
    </fill>
    <fill>
      <patternFill patternType="solid">
        <fgColor rgb="FFDFE1E2"/>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5" tint="0.79998168889431442"/>
        <bgColor indexed="64"/>
      </patternFill>
    </fill>
  </fills>
  <borders count="26">
    <border>
      <left/>
      <right/>
      <top/>
      <bottom/>
      <diagonal/>
    </border>
    <border>
      <left style="thin">
        <color auto="1"/>
      </left>
      <right style="thin">
        <color auto="1"/>
      </right>
      <top style="thin">
        <color auto="1"/>
      </top>
      <bottom style="thin">
        <color auto="1"/>
      </bottom>
      <diagonal/>
    </border>
    <border>
      <left style="double">
        <color rgb="FF03B8DF"/>
      </left>
      <right/>
      <top style="double">
        <color rgb="FF03B8DF"/>
      </top>
      <bottom style="double">
        <color rgb="FF03B8DF"/>
      </bottom>
      <diagonal/>
    </border>
    <border>
      <left/>
      <right/>
      <top style="double">
        <color rgb="FF03B8DF"/>
      </top>
      <bottom style="double">
        <color rgb="FF03B8DF"/>
      </bottom>
      <diagonal/>
    </border>
    <border>
      <left/>
      <right style="double">
        <color rgb="FF03B8DF"/>
      </right>
      <top style="double">
        <color rgb="FF03B8DF"/>
      </top>
      <bottom style="double">
        <color rgb="FF03B8DF"/>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diagonalUp="1">
      <left/>
      <right/>
      <top style="double">
        <color auto="1"/>
      </top>
      <bottom style="double">
        <color auto="1"/>
      </bottom>
      <diagonal style="thin">
        <color auto="1"/>
      </diagonal>
    </border>
    <border>
      <left style="thin">
        <color auto="1"/>
      </left>
      <right style="double">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double">
        <color auto="1"/>
      </left>
      <right style="thin">
        <color auto="1"/>
      </right>
      <top style="double">
        <color auto="1"/>
      </top>
      <bottom style="double">
        <color auto="1"/>
      </bottom>
      <diagonal/>
    </border>
    <border>
      <left style="thin">
        <color auto="1"/>
      </left>
      <right/>
      <top/>
      <bottom/>
      <diagonal/>
    </border>
    <border diagonalUp="1">
      <left/>
      <right/>
      <top/>
      <bottom/>
      <diagonal style="thin">
        <color auto="1"/>
      </diagonal>
    </border>
    <border>
      <left style="thin">
        <color auto="1"/>
      </left>
      <right style="thin">
        <color auto="1"/>
      </right>
      <top/>
      <bottom style="thin">
        <color auto="1"/>
      </bottom>
      <diagonal/>
    </border>
    <border>
      <left style="double">
        <color rgb="FF03B8DF"/>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14" fillId="0" borderId="0">
      <alignment vertical="center"/>
    </xf>
    <xf numFmtId="0" fontId="20" fillId="0" borderId="0" applyNumberFormat="0" applyFill="0" applyBorder="0" applyAlignment="0" applyProtection="0">
      <alignment vertical="center"/>
    </xf>
    <xf numFmtId="0" fontId="21" fillId="0" borderId="0"/>
    <xf numFmtId="38" fontId="14" fillId="0" borderId="0" applyFont="0" applyFill="0" applyBorder="0" applyAlignment="0" applyProtection="0">
      <alignment vertical="center"/>
    </xf>
  </cellStyleXfs>
  <cellXfs count="136">
    <xf numFmtId="0" fontId="0" fillId="0" borderId="0" xfId="0">
      <alignment vertical="center"/>
    </xf>
    <xf numFmtId="0" fontId="4" fillId="2" borderId="0" xfId="0" applyFont="1" applyFill="1" applyProtection="1">
      <alignment vertical="center"/>
      <protection hidden="1"/>
    </xf>
    <xf numFmtId="0" fontId="5" fillId="2" borderId="0" xfId="0" applyFont="1" applyFill="1" applyProtection="1">
      <alignment vertical="center"/>
      <protection hidden="1"/>
    </xf>
    <xf numFmtId="0" fontId="2" fillId="2" borderId="0" xfId="0" applyFont="1" applyFill="1" applyBorder="1" applyProtection="1">
      <alignment vertical="center"/>
      <protection hidden="1"/>
    </xf>
    <xf numFmtId="0" fontId="4" fillId="0" borderId="0" xfId="0" applyFo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5" fillId="0" borderId="0" xfId="0" applyFont="1" applyProtection="1">
      <alignment vertical="center"/>
      <protection hidden="1"/>
    </xf>
    <xf numFmtId="176" fontId="4" fillId="2" borderId="0" xfId="0" applyNumberFormat="1" applyFont="1" applyFill="1" applyProtection="1">
      <alignment vertical="center"/>
      <protection hidden="1"/>
    </xf>
    <xf numFmtId="0" fontId="8" fillId="0" borderId="0" xfId="0" applyFont="1" applyProtection="1">
      <alignment vertical="center"/>
      <protection hidden="1"/>
    </xf>
    <xf numFmtId="0" fontId="4" fillId="0" borderId="2" xfId="0" applyFont="1" applyBorder="1" applyAlignment="1" applyProtection="1">
      <alignment vertical="center"/>
      <protection hidden="1"/>
    </xf>
    <xf numFmtId="0" fontId="4" fillId="0" borderId="3" xfId="0" applyFont="1" applyBorder="1" applyProtection="1">
      <alignment vertical="center"/>
      <protection hidden="1"/>
    </xf>
    <xf numFmtId="0" fontId="4" fillId="0" borderId="4" xfId="0" applyFont="1" applyBorder="1" applyProtection="1">
      <alignment vertical="center"/>
      <protection hidden="1"/>
    </xf>
    <xf numFmtId="0" fontId="8" fillId="0" borderId="0" xfId="0" applyFont="1" applyAlignment="1" applyProtection="1">
      <alignment vertical="center"/>
      <protection hidden="1"/>
    </xf>
    <xf numFmtId="176" fontId="6" fillId="0" borderId="0" xfId="0" applyNumberFormat="1" applyFont="1" applyProtection="1">
      <alignment vertical="center"/>
      <protection hidden="1"/>
    </xf>
    <xf numFmtId="0" fontId="4" fillId="0" borderId="0" xfId="0" applyFont="1" applyBorder="1" applyProtection="1">
      <alignment vertical="center"/>
      <protection hidden="1"/>
    </xf>
    <xf numFmtId="9" fontId="4" fillId="2" borderId="0" xfId="0" applyNumberFormat="1" applyFont="1" applyFill="1" applyProtection="1">
      <alignment vertical="center"/>
      <protection hidden="1"/>
    </xf>
    <xf numFmtId="38" fontId="4" fillId="2" borderId="0" xfId="1" applyFont="1" applyFill="1" applyProtection="1">
      <alignment vertical="center"/>
      <protection hidden="1"/>
    </xf>
    <xf numFmtId="0" fontId="12" fillId="3" borderId="0" xfId="0" applyFont="1" applyFill="1" applyBorder="1" applyProtection="1">
      <alignment vertical="center"/>
      <protection hidden="1"/>
    </xf>
    <xf numFmtId="0" fontId="6" fillId="3" borderId="0" xfId="0" applyFont="1" applyFill="1" applyBorder="1" applyProtection="1">
      <alignment vertical="center"/>
      <protection hidden="1"/>
    </xf>
    <xf numFmtId="0" fontId="6" fillId="3" borderId="0" xfId="0" applyFont="1" applyFill="1" applyProtection="1">
      <alignment vertical="center"/>
      <protection hidden="1"/>
    </xf>
    <xf numFmtId="0" fontId="10" fillId="2" borderId="0" xfId="0" applyFont="1" applyFill="1" applyBorder="1" applyProtection="1">
      <alignment vertical="center"/>
      <protection hidden="1"/>
    </xf>
    <xf numFmtId="0" fontId="4" fillId="2" borderId="0" xfId="0" applyFont="1" applyFill="1" applyBorder="1" applyProtection="1">
      <alignment vertical="center"/>
      <protection hidden="1"/>
    </xf>
    <xf numFmtId="0" fontId="4" fillId="2" borderId="5" xfId="0" applyFont="1" applyFill="1" applyBorder="1" applyProtection="1">
      <alignment vertical="center"/>
      <protection hidden="1"/>
    </xf>
    <xf numFmtId="0" fontId="4" fillId="2" borderId="6" xfId="0" applyFont="1" applyFill="1" applyBorder="1" applyProtection="1">
      <alignment vertical="center"/>
      <protection hidden="1"/>
    </xf>
    <xf numFmtId="0" fontId="4" fillId="2" borderId="7" xfId="0" applyFont="1" applyFill="1" applyBorder="1" applyProtection="1">
      <alignment vertical="center"/>
      <protection hidden="1"/>
    </xf>
    <xf numFmtId="0" fontId="4" fillId="0" borderId="1" xfId="0" applyFont="1" applyBorder="1" applyAlignment="1" applyProtection="1">
      <alignment horizontal="center" vertical="center"/>
      <protection hidden="1"/>
    </xf>
    <xf numFmtId="0" fontId="4" fillId="0" borderId="1" xfId="0" applyFont="1" applyBorder="1" applyAlignment="1" applyProtection="1">
      <alignment horizontal="right" vertical="center"/>
      <protection hidden="1"/>
    </xf>
    <xf numFmtId="0" fontId="4" fillId="0" borderId="14" xfId="0" applyFont="1" applyBorder="1" applyAlignment="1" applyProtection="1">
      <alignment horizontal="right" vertical="center"/>
      <protection hidden="1"/>
    </xf>
    <xf numFmtId="0" fontId="4" fillId="0" borderId="13" xfId="0" applyFont="1" applyBorder="1" applyAlignment="1" applyProtection="1">
      <alignment horizontal="right" vertical="center"/>
      <protection hidden="1"/>
    </xf>
    <xf numFmtId="38" fontId="4" fillId="0" borderId="13" xfId="1" applyFont="1" applyBorder="1" applyAlignment="1" applyProtection="1">
      <alignment vertical="center"/>
      <protection hidden="1"/>
    </xf>
    <xf numFmtId="0" fontId="4" fillId="0" borderId="0" xfId="0" applyFont="1" applyFill="1" applyProtection="1">
      <alignment vertical="center"/>
      <protection hidden="1"/>
    </xf>
    <xf numFmtId="177" fontId="4" fillId="2" borderId="0" xfId="0" applyNumberFormat="1" applyFont="1" applyFill="1" applyProtection="1">
      <alignment vertical="center"/>
      <protection hidden="1"/>
    </xf>
    <xf numFmtId="0" fontId="4" fillId="2" borderId="0" xfId="0" applyNumberFormat="1" applyFont="1" applyFill="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38" fontId="4" fillId="2" borderId="0" xfId="0" applyNumberFormat="1" applyFont="1" applyFill="1" applyProtection="1">
      <alignment vertical="center"/>
      <protection hidden="1"/>
    </xf>
    <xf numFmtId="38" fontId="4" fillId="4" borderId="1" xfId="1" applyFont="1" applyFill="1" applyBorder="1" applyAlignment="1" applyProtection="1">
      <alignment vertical="center"/>
      <protection hidden="1"/>
    </xf>
    <xf numFmtId="177" fontId="4" fillId="2" borderId="1" xfId="0" applyNumberFormat="1" applyFont="1" applyFill="1" applyBorder="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Alignment="1" applyProtection="1">
      <alignment horizontal="center" vertical="center"/>
      <protection hidden="1"/>
    </xf>
    <xf numFmtId="0" fontId="4" fillId="0" borderId="1" xfId="0" applyFont="1" applyFill="1" applyBorder="1" applyAlignment="1" applyProtection="1">
      <alignment horizontal="right" vertical="center"/>
      <protection hidden="1"/>
    </xf>
    <xf numFmtId="38" fontId="4" fillId="0" borderId="1" xfId="1" applyFont="1" applyBorder="1" applyAlignment="1" applyProtection="1">
      <alignment horizontal="right" vertical="center"/>
      <protection hidden="1"/>
    </xf>
    <xf numFmtId="177" fontId="4" fillId="0" borderId="1" xfId="0" applyNumberFormat="1" applyFont="1" applyBorder="1" applyAlignment="1" applyProtection="1">
      <alignment horizontal="right" vertical="center"/>
      <protection hidden="1"/>
    </xf>
    <xf numFmtId="38" fontId="4" fillId="0" borderId="1" xfId="1" applyFont="1" applyBorder="1" applyAlignment="1" applyProtection="1">
      <alignment vertical="center"/>
      <protection locked="0"/>
    </xf>
    <xf numFmtId="38" fontId="4" fillId="0" borderId="1" xfId="1" applyFont="1" applyBorder="1" applyProtection="1">
      <alignment vertical="center"/>
      <protection locked="0"/>
    </xf>
    <xf numFmtId="38" fontId="4" fillId="0" borderId="14" xfId="1" applyFont="1" applyBorder="1" applyProtection="1">
      <alignment vertical="center"/>
      <protection locked="0"/>
    </xf>
    <xf numFmtId="0" fontId="4" fillId="2" borderId="20" xfId="0" applyFont="1" applyFill="1" applyBorder="1" applyProtection="1">
      <alignment vertical="center"/>
      <protection hidden="1"/>
    </xf>
    <xf numFmtId="38" fontId="4" fillId="0" borderId="1" xfId="1" applyFont="1" applyBorder="1" applyAlignment="1" applyProtection="1">
      <alignment horizontal="right" vertical="center" shrinkToFit="1"/>
      <protection hidden="1"/>
    </xf>
    <xf numFmtId="177" fontId="4" fillId="0" borderId="1" xfId="1" applyNumberFormat="1" applyFont="1" applyBorder="1" applyAlignment="1" applyProtection="1">
      <alignment horizontal="right" vertical="center"/>
      <protection hidden="1"/>
    </xf>
    <xf numFmtId="0" fontId="4" fillId="2" borderId="0" xfId="0" applyFont="1" applyFill="1" applyAlignment="1" applyProtection="1">
      <alignment horizontal="center" vertical="center"/>
      <protection hidden="1"/>
    </xf>
    <xf numFmtId="176" fontId="4" fillId="2" borderId="0" xfId="0" applyNumberFormat="1" applyFont="1" applyFill="1" applyAlignment="1" applyProtection="1">
      <alignment horizontal="center" vertical="center"/>
      <protection hidden="1"/>
    </xf>
    <xf numFmtId="0" fontId="4" fillId="2" borderId="21" xfId="0" applyFont="1" applyFill="1" applyBorder="1" applyAlignment="1" applyProtection="1">
      <alignment horizontal="right" vertical="center"/>
      <protection hidden="1"/>
    </xf>
    <xf numFmtId="0" fontId="4" fillId="2" borderId="1" xfId="0" applyFont="1" applyFill="1" applyBorder="1" applyAlignment="1" applyProtection="1">
      <alignment horizontal="right" vertical="center"/>
      <protection hidden="1"/>
    </xf>
    <xf numFmtId="177" fontId="4" fillId="2" borderId="1" xfId="0" applyNumberFormat="1" applyFont="1" applyFill="1" applyBorder="1" applyAlignment="1" applyProtection="1">
      <alignment horizontal="right" vertical="center"/>
      <protection hidden="1"/>
    </xf>
    <xf numFmtId="0" fontId="4" fillId="2" borderId="13" xfId="0" applyFont="1" applyFill="1" applyBorder="1" applyAlignment="1" applyProtection="1">
      <alignment horizontal="right" vertical="center"/>
      <protection hidden="1"/>
    </xf>
    <xf numFmtId="0" fontId="4" fillId="2" borderId="18" xfId="0" applyFont="1" applyFill="1" applyBorder="1" applyAlignment="1" applyProtection="1">
      <alignment horizontal="right" vertical="center"/>
      <protection hidden="1"/>
    </xf>
    <xf numFmtId="178" fontId="4" fillId="2" borderId="1" xfId="0" applyNumberFormat="1" applyFont="1" applyFill="1" applyBorder="1" applyAlignment="1" applyProtection="1">
      <alignment horizontal="right" vertical="center"/>
      <protection hidden="1"/>
    </xf>
    <xf numFmtId="178" fontId="4" fillId="2" borderId="1" xfId="1" applyNumberFormat="1" applyFont="1" applyFill="1" applyBorder="1" applyAlignment="1" applyProtection="1">
      <alignment horizontal="right" vertical="center"/>
      <protection hidden="1"/>
    </xf>
    <xf numFmtId="178" fontId="4" fillId="2" borderId="17" xfId="0" applyNumberFormat="1" applyFont="1" applyFill="1" applyBorder="1" applyProtection="1">
      <alignment vertical="center"/>
      <protection hidden="1"/>
    </xf>
    <xf numFmtId="178" fontId="4" fillId="2" borderId="16" xfId="0" applyNumberFormat="1" applyFont="1" applyFill="1" applyBorder="1" applyProtection="1">
      <alignment vertical="center"/>
      <protection hidden="1"/>
    </xf>
    <xf numFmtId="178" fontId="4" fillId="2" borderId="17" xfId="1" applyNumberFormat="1" applyFont="1" applyFill="1" applyBorder="1" applyAlignment="1" applyProtection="1">
      <alignment horizontal="right" vertical="center"/>
      <protection hidden="1"/>
    </xf>
    <xf numFmtId="178" fontId="4" fillId="2" borderId="16" xfId="1" applyNumberFormat="1" applyFont="1" applyFill="1" applyBorder="1" applyAlignment="1" applyProtection="1">
      <alignment horizontal="right" vertical="center"/>
      <protection hidden="1"/>
    </xf>
    <xf numFmtId="0" fontId="4" fillId="0" borderId="0" xfId="0" applyFont="1" applyAlignment="1" applyProtection="1">
      <alignment horizontal="center" vertical="center"/>
      <protection locked="0"/>
    </xf>
    <xf numFmtId="0" fontId="4" fillId="2" borderId="0" xfId="0" applyNumberFormat="1" applyFont="1" applyFill="1" applyProtection="1">
      <alignment vertical="center"/>
      <protection locked="0"/>
    </xf>
    <xf numFmtId="0" fontId="13" fillId="0" borderId="0" xfId="0" applyFont="1" applyProtection="1">
      <alignment vertical="center"/>
      <protection hidden="1"/>
    </xf>
    <xf numFmtId="0" fontId="4" fillId="5" borderId="1" xfId="0" applyFont="1" applyFill="1" applyBorder="1" applyAlignment="1" applyProtection="1">
      <alignment horizontal="right" vertical="center"/>
      <protection hidden="1"/>
    </xf>
    <xf numFmtId="179" fontId="4" fillId="2" borderId="0" xfId="0" applyNumberFormat="1" applyFont="1" applyFill="1" applyProtection="1">
      <alignment vertical="center"/>
      <protection hidden="1"/>
    </xf>
    <xf numFmtId="14" fontId="4" fillId="2" borderId="0" xfId="0" applyNumberFormat="1" applyFont="1" applyFill="1" applyProtection="1">
      <alignment vertical="center"/>
      <protection hidden="1"/>
    </xf>
    <xf numFmtId="178" fontId="4" fillId="0" borderId="1" xfId="0" applyNumberFormat="1" applyFont="1" applyFill="1" applyBorder="1" applyProtection="1">
      <alignment vertical="center"/>
      <protection locked="0"/>
    </xf>
    <xf numFmtId="178" fontId="4" fillId="2" borderId="0" xfId="0" applyNumberFormat="1" applyFont="1" applyFill="1" applyProtection="1">
      <alignment vertical="center"/>
      <protection hidden="1"/>
    </xf>
    <xf numFmtId="0" fontId="15" fillId="0" borderId="0" xfId="2" applyFont="1" applyAlignment="1">
      <alignment horizontal="right" vertical="center"/>
    </xf>
    <xf numFmtId="0" fontId="16" fillId="0" borderId="0" xfId="2" applyFont="1" applyAlignment="1">
      <alignment vertical="center" wrapText="1"/>
    </xf>
    <xf numFmtId="0" fontId="15" fillId="0" borderId="0" xfId="2" applyFont="1">
      <alignment vertical="center"/>
    </xf>
    <xf numFmtId="0" fontId="15" fillId="0" borderId="0" xfId="2" applyFont="1" applyAlignment="1">
      <alignment horizontal="left" vertical="center"/>
    </xf>
    <xf numFmtId="0" fontId="16" fillId="0" borderId="0" xfId="2" applyFont="1" applyAlignment="1">
      <alignment vertical="center"/>
    </xf>
    <xf numFmtId="0" fontId="4" fillId="2" borderId="1" xfId="0" applyFont="1" applyFill="1" applyBorder="1" applyAlignment="1" applyProtection="1">
      <alignment horizontal="right" vertical="center" shrinkToFit="1"/>
      <protection hidden="1"/>
    </xf>
    <xf numFmtId="0" fontId="22" fillId="6" borderId="1" xfId="4" applyFont="1" applyFill="1" applyBorder="1" applyAlignment="1">
      <alignment horizontal="center" vertical="center"/>
    </xf>
    <xf numFmtId="180" fontId="22" fillId="6" borderId="1" xfId="4" applyNumberFormat="1" applyFont="1" applyFill="1" applyBorder="1" applyAlignment="1">
      <alignment horizontal="center" vertical="center"/>
    </xf>
    <xf numFmtId="181" fontId="22" fillId="0" borderId="1" xfId="5" applyNumberFormat="1" applyFont="1" applyBorder="1">
      <alignment vertical="center"/>
    </xf>
    <xf numFmtId="14" fontId="15" fillId="0" borderId="1" xfId="2" applyNumberFormat="1" applyFont="1" applyBorder="1">
      <alignment vertical="center"/>
    </xf>
    <xf numFmtId="0" fontId="15" fillId="0" borderId="1" xfId="2" applyFont="1" applyBorder="1">
      <alignment vertical="center"/>
    </xf>
    <xf numFmtId="0" fontId="15" fillId="0" borderId="0" xfId="0" applyFont="1">
      <alignment vertical="center"/>
    </xf>
    <xf numFmtId="0" fontId="15" fillId="0" borderId="1" xfId="0" applyFont="1" applyBorder="1">
      <alignment vertical="center"/>
    </xf>
    <xf numFmtId="38" fontId="4" fillId="0" borderId="1" xfId="1" applyFont="1" applyFill="1" applyBorder="1" applyAlignment="1" applyProtection="1">
      <alignment vertical="center"/>
      <protection locked="0"/>
    </xf>
    <xf numFmtId="38" fontId="4" fillId="0" borderId="14" xfId="1" applyFont="1" applyFill="1" applyBorder="1" applyAlignment="1" applyProtection="1">
      <alignment vertical="center"/>
      <protection locked="0"/>
    </xf>
    <xf numFmtId="0" fontId="24" fillId="0" borderId="0" xfId="2" applyFont="1" applyAlignment="1">
      <alignment horizontal="right" vertical="center"/>
    </xf>
    <xf numFmtId="0" fontId="15" fillId="0" borderId="0" xfId="2" applyFont="1" applyAlignment="1">
      <alignment vertical="center"/>
    </xf>
    <xf numFmtId="0" fontId="25" fillId="0" borderId="0" xfId="3" applyFont="1">
      <alignment vertical="center"/>
    </xf>
    <xf numFmtId="0" fontId="26" fillId="0" borderId="0" xfId="3" applyFont="1">
      <alignment vertical="center"/>
    </xf>
    <xf numFmtId="0" fontId="4" fillId="4" borderId="1" xfId="0" applyFont="1" applyFill="1" applyBorder="1" applyAlignment="1" applyProtection="1">
      <alignment horizontal="center" vertical="center"/>
      <protection hidden="1"/>
    </xf>
    <xf numFmtId="0" fontId="4" fillId="4" borderId="1" xfId="0" applyFont="1" applyFill="1" applyBorder="1" applyProtection="1">
      <alignment vertical="center"/>
      <protection hidden="1"/>
    </xf>
    <xf numFmtId="14" fontId="27" fillId="2" borderId="0" xfId="0" applyNumberFormat="1" applyFont="1" applyFill="1" applyProtection="1">
      <alignment vertical="center"/>
      <protection hidden="1"/>
    </xf>
    <xf numFmtId="0" fontId="4" fillId="5" borderId="1" xfId="0" applyFont="1" applyFill="1" applyBorder="1" applyAlignment="1" applyProtection="1">
      <alignment horizontal="center" vertical="center"/>
      <protection hidden="1"/>
    </xf>
    <xf numFmtId="0" fontId="4" fillId="7" borderId="1" xfId="0" applyFont="1" applyFill="1" applyBorder="1" applyAlignment="1" applyProtection="1">
      <alignment horizontal="center" vertical="center"/>
      <protection hidden="1"/>
    </xf>
    <xf numFmtId="0" fontId="4" fillId="7" borderId="1" xfId="0" applyFont="1" applyFill="1" applyBorder="1" applyAlignment="1" applyProtection="1">
      <alignment horizontal="right" vertical="center"/>
      <protection hidden="1"/>
    </xf>
    <xf numFmtId="0" fontId="4" fillId="0" borderId="22" xfId="0" applyFont="1" applyBorder="1" applyProtection="1">
      <alignment vertical="center"/>
      <protection hidden="1"/>
    </xf>
    <xf numFmtId="0" fontId="4" fillId="2" borderId="0" xfId="0" applyFont="1" applyFill="1" applyAlignment="1" applyProtection="1">
      <alignment horizontal="center" vertical="center"/>
      <protection hidden="1"/>
    </xf>
    <xf numFmtId="176" fontId="4" fillId="2" borderId="0" xfId="0" applyNumberFormat="1" applyFont="1" applyFill="1" applyAlignment="1" applyProtection="1">
      <alignment horizontal="center" vertical="center"/>
      <protection hidden="1"/>
    </xf>
    <xf numFmtId="0" fontId="4" fillId="5" borderId="1" xfId="0" applyFont="1" applyFill="1" applyBorder="1" applyAlignment="1" applyProtection="1">
      <alignment horizontal="center" vertical="center"/>
      <protection hidden="1"/>
    </xf>
    <xf numFmtId="182" fontId="4" fillId="2" borderId="0" xfId="0" applyNumberFormat="1" applyFont="1" applyFill="1" applyProtection="1">
      <alignment vertical="center"/>
      <protection hidden="1"/>
    </xf>
    <xf numFmtId="183" fontId="4" fillId="0" borderId="1" xfId="1" applyNumberFormat="1" applyFont="1" applyBorder="1" applyAlignment="1" applyProtection="1">
      <alignment horizontal="right" vertical="center"/>
      <protection hidden="1"/>
    </xf>
    <xf numFmtId="183" fontId="4" fillId="0" borderId="1" xfId="0" applyNumberFormat="1" applyFont="1" applyBorder="1" applyAlignment="1" applyProtection="1">
      <alignment horizontal="right" vertical="center"/>
      <protection hidden="1"/>
    </xf>
    <xf numFmtId="179" fontId="4" fillId="5" borderId="1" xfId="1" applyNumberFormat="1" applyFont="1" applyFill="1" applyBorder="1" applyAlignment="1" applyProtection="1">
      <alignment horizontal="right" vertical="center"/>
      <protection locked="0"/>
    </xf>
    <xf numFmtId="0" fontId="4" fillId="2" borderId="0" xfId="0" applyNumberFormat="1" applyFont="1" applyFill="1" applyProtection="1">
      <alignment vertical="center"/>
    </xf>
    <xf numFmtId="38" fontId="4" fillId="0" borderId="1" xfId="1" applyFont="1" applyBorder="1" applyProtection="1">
      <alignment vertical="center"/>
    </xf>
    <xf numFmtId="38" fontId="4" fillId="0" borderId="14" xfId="1" applyFont="1" applyBorder="1" applyProtection="1">
      <alignment vertical="center"/>
    </xf>
    <xf numFmtId="184" fontId="4" fillId="0" borderId="1" xfId="1" applyNumberFormat="1" applyFont="1" applyBorder="1" applyAlignment="1" applyProtection="1">
      <alignment horizontal="right" vertical="center"/>
      <protection hidden="1"/>
    </xf>
    <xf numFmtId="0" fontId="4" fillId="8" borderId="1" xfId="0" applyFont="1" applyFill="1" applyBorder="1" applyAlignment="1" applyProtection="1">
      <alignment horizontal="right" vertical="center"/>
      <protection hidden="1"/>
    </xf>
    <xf numFmtId="0" fontId="4" fillId="8" borderId="0" xfId="0" applyFont="1" applyFill="1" applyProtection="1">
      <alignment vertical="center"/>
      <protection hidden="1"/>
    </xf>
    <xf numFmtId="0" fontId="20" fillId="0" borderId="0" xfId="3">
      <alignment vertical="center"/>
    </xf>
    <xf numFmtId="0" fontId="4" fillId="2" borderId="0" xfId="0" applyFont="1" applyFill="1" applyAlignment="1" applyProtection="1">
      <alignment horizontal="center" vertical="center"/>
      <protection hidden="1"/>
    </xf>
    <xf numFmtId="0" fontId="4" fillId="2" borderId="0" xfId="0" applyFont="1" applyFill="1" applyAlignment="1" applyProtection="1">
      <alignment horizontal="left" vertical="top" wrapText="1"/>
      <protection hidden="1"/>
    </xf>
    <xf numFmtId="0" fontId="11" fillId="2" borderId="8"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9" xfId="0" applyFont="1" applyFill="1" applyBorder="1" applyAlignment="1" applyProtection="1">
      <alignment horizontal="left" vertical="top" wrapText="1"/>
      <protection hidden="1"/>
    </xf>
    <xf numFmtId="0" fontId="11" fillId="2" borderId="10" xfId="0" applyFont="1" applyFill="1" applyBorder="1" applyAlignment="1" applyProtection="1">
      <alignment horizontal="left" vertical="top" wrapText="1"/>
      <protection hidden="1"/>
    </xf>
    <xf numFmtId="0" fontId="11" fillId="2" borderId="11" xfId="0" applyFont="1" applyFill="1" applyBorder="1" applyAlignment="1" applyProtection="1">
      <alignment horizontal="left" vertical="top" wrapText="1"/>
      <protection hidden="1"/>
    </xf>
    <xf numFmtId="0" fontId="11" fillId="2" borderId="12" xfId="0" applyFont="1" applyFill="1" applyBorder="1" applyAlignment="1" applyProtection="1">
      <alignment horizontal="left" vertical="top" wrapText="1"/>
      <protection hidden="1"/>
    </xf>
    <xf numFmtId="0" fontId="5" fillId="0" borderId="19" xfId="0" applyFont="1" applyBorder="1" applyAlignment="1" applyProtection="1">
      <alignment horizontal="left" vertical="center" wrapText="1"/>
      <protection hidden="1"/>
    </xf>
    <xf numFmtId="0" fontId="5" fillId="0" borderId="0" xfId="0" applyFont="1" applyAlignment="1" applyProtection="1">
      <alignment horizontal="left" vertical="center" wrapText="1"/>
      <protection hidden="1"/>
    </xf>
    <xf numFmtId="176" fontId="4" fillId="2" borderId="0" xfId="0" applyNumberFormat="1" applyFont="1" applyFill="1" applyAlignment="1" applyProtection="1">
      <alignment horizontal="center" vertical="center"/>
      <protection hidden="1"/>
    </xf>
    <xf numFmtId="0" fontId="5" fillId="0" borderId="19" xfId="0" applyFont="1" applyBorder="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4" fillId="5" borderId="1" xfId="0" applyFont="1" applyFill="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4" fillId="5" borderId="23" xfId="0" applyFont="1" applyFill="1" applyBorder="1" applyAlignment="1" applyProtection="1">
      <alignment horizontal="center" vertical="center"/>
      <protection hidden="1"/>
    </xf>
    <xf numFmtId="0" fontId="4" fillId="5" borderId="24" xfId="0" applyFont="1" applyFill="1" applyBorder="1" applyAlignment="1" applyProtection="1">
      <alignment horizontal="center" vertical="center"/>
      <protection hidden="1"/>
    </xf>
    <xf numFmtId="0" fontId="4" fillId="5" borderId="25" xfId="0" applyFont="1" applyFill="1" applyBorder="1" applyAlignment="1" applyProtection="1">
      <alignment horizontal="center" vertical="center"/>
      <protection hidden="1"/>
    </xf>
    <xf numFmtId="0" fontId="5" fillId="0" borderId="19"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0" xfId="0" applyFont="1" applyBorder="1" applyAlignment="1" applyProtection="1">
      <alignment horizontal="left" vertical="top" wrapText="1"/>
      <protection hidden="1"/>
    </xf>
    <xf numFmtId="178" fontId="4" fillId="0" borderId="1" xfId="0" applyNumberFormat="1" applyFont="1" applyBorder="1" applyAlignment="1" applyProtection="1">
      <alignment horizontal="right" vertical="center"/>
      <protection hidden="1"/>
    </xf>
  </cellXfs>
  <cellStyles count="6">
    <cellStyle name="ハイパーリンク" xfId="3" builtinId="8"/>
    <cellStyle name="桁区切り" xfId="1" builtinId="6"/>
    <cellStyle name="桁区切り 2 2" xfId="5" xr:uid="{00000000-0005-0000-0000-000002000000}"/>
    <cellStyle name="標準" xfId="0" builtinId="0"/>
    <cellStyle name="標準 2 3" xfId="2" xr:uid="{00000000-0005-0000-0000-000004000000}"/>
    <cellStyle name="標準 8 2" xfId="4" xr:uid="{00000000-0005-0000-0000-000005000000}"/>
  </cellStyles>
  <dxfs count="39">
    <dxf>
      <fill>
        <patternFill>
          <bgColor theme="8" tint="0.79998168889431442"/>
        </patternFill>
      </fill>
      <border>
        <left style="thin">
          <color rgb="FFFF0000"/>
        </left>
        <right style="thin">
          <color rgb="FFFF0000"/>
        </right>
        <top style="thin">
          <color auto="1"/>
        </top>
        <bottom style="thin">
          <color auto="1"/>
        </bottom>
      </border>
    </dxf>
    <dxf>
      <fill>
        <patternFill>
          <bgColor theme="1" tint="0.499984740745262"/>
        </patternFill>
      </fill>
    </dxf>
    <dxf>
      <fill>
        <patternFill>
          <bgColor theme="1" tint="0.499984740745262"/>
        </patternFill>
      </fill>
    </dxf>
    <dxf>
      <fill>
        <patternFill>
          <bgColor theme="8" tint="0.79998168889431442"/>
        </patternFill>
      </fill>
      <border>
        <left style="thin">
          <color rgb="FFFF0000"/>
        </left>
        <right style="thin">
          <color rgb="FFFF0000"/>
        </right>
        <top style="thin">
          <color auto="1"/>
        </top>
        <bottom style="thin">
          <color auto="1"/>
        </bottom>
      </border>
    </dxf>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1" tint="0.499984740745262"/>
        </patternFill>
      </fill>
    </dxf>
    <dxf>
      <font>
        <color theme="4"/>
      </font>
    </dxf>
    <dxf>
      <fill>
        <patternFill>
          <bgColor theme="8" tint="0.79998168889431442"/>
        </patternFill>
      </fill>
      <border>
        <left style="thin">
          <color rgb="FFFF0000"/>
        </left>
        <right style="thin">
          <color rgb="FFFF0000"/>
        </right>
        <top style="thin">
          <color auto="1"/>
        </top>
        <bottom style="thin">
          <color auto="1"/>
        </bottom>
      </border>
    </dxf>
    <dxf>
      <fill>
        <patternFill>
          <bgColor theme="1" tint="0.499984740745262"/>
        </patternFill>
      </fill>
    </dxf>
    <dxf>
      <fill>
        <patternFill>
          <bgColor theme="8" tint="0.79998168889431442"/>
        </patternFill>
      </fill>
      <border>
        <left style="thin">
          <color rgb="FFFF0000"/>
        </left>
        <right style="thin">
          <color rgb="FFFF0000"/>
        </right>
        <top style="thin">
          <color auto="1"/>
        </top>
        <bottom style="thin">
          <color auto="1"/>
        </bottom>
      </border>
    </dxf>
    <dxf>
      <fill>
        <patternFill>
          <bgColor theme="1" tint="0.499984740745262"/>
        </patternFill>
      </fill>
    </dxf>
    <dxf>
      <fill>
        <patternFill>
          <bgColor theme="8" tint="0.79998168889431442"/>
        </patternFill>
      </fill>
      <border>
        <left style="thin">
          <color rgb="FFFF0000"/>
        </left>
        <right style="thin">
          <color rgb="FFFF0000"/>
        </right>
        <top style="thin">
          <color auto="1"/>
        </top>
        <bottom style="thin">
          <color auto="1"/>
        </bottom>
      </border>
    </dxf>
    <dxf>
      <fill>
        <patternFill>
          <bgColor theme="1" tint="0.499984740745262"/>
        </patternFill>
      </fill>
    </dxf>
    <dxf>
      <fill>
        <patternFill>
          <bgColor theme="8" tint="0.79998168889431442"/>
        </patternFill>
      </fill>
      <border>
        <left style="thin">
          <color rgb="FFFF0000"/>
        </left>
        <right style="thin">
          <color rgb="FFFF0000"/>
        </right>
        <top style="thin">
          <color auto="1"/>
        </top>
        <bottom style="thin">
          <color auto="1"/>
        </bottom>
      </border>
    </dxf>
    <dxf>
      <fill>
        <patternFill>
          <bgColor theme="1" tint="0.499984740745262"/>
        </patternFill>
      </fill>
    </dxf>
    <dxf>
      <fill>
        <patternFill>
          <bgColor theme="8" tint="0.79998168889431442"/>
        </patternFill>
      </fill>
      <border>
        <left style="thin">
          <color rgb="FFFF0000"/>
        </left>
        <right style="thin">
          <color rgb="FFFF0000"/>
        </right>
        <top style="thin">
          <color auto="1"/>
        </top>
        <bottom style="thin">
          <color auto="1"/>
        </bottom>
      </border>
    </dxf>
    <dxf>
      <fill>
        <patternFill>
          <bgColor theme="1" tint="0.499984740745262"/>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ill>
        <patternFill>
          <bgColor theme="1" tint="0.499984740745262"/>
        </patternFill>
      </fill>
    </dxf>
    <dxf>
      <fill>
        <patternFill>
          <bgColor rgb="FFFFFF00"/>
        </patternFill>
      </fill>
    </dxf>
    <dxf>
      <fill>
        <patternFill>
          <bgColor theme="1" tint="0.499984740745262"/>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ill>
        <patternFill>
          <bgColor theme="8" tint="0.79998168889431442"/>
        </patternFill>
      </fill>
    </dxf>
    <dxf>
      <fill>
        <patternFill>
          <bgColor theme="1" tint="0.499984740745262"/>
        </patternFill>
      </fill>
    </dxf>
    <dxf>
      <font>
        <color theme="4"/>
      </font>
    </dxf>
  </dxfs>
  <tableStyles count="0" defaultTableStyle="TableStyleMedium2" defaultPivotStyle="PivotStyleLight16"/>
  <colors>
    <mruColors>
      <color rgb="FFDFE1E2"/>
      <color rgb="FF03B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fmlaLink="T12"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17</xdr:row>
          <xdr:rowOff>104775</xdr:rowOff>
        </xdr:from>
        <xdr:to>
          <xdr:col>2</xdr:col>
          <xdr:colOff>847725</xdr:colOff>
          <xdr:row>19</xdr:row>
          <xdr:rowOff>38100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17</xdr:row>
          <xdr:rowOff>104775</xdr:rowOff>
        </xdr:from>
        <xdr:to>
          <xdr:col>2</xdr:col>
          <xdr:colOff>1609725</xdr:colOff>
          <xdr:row>19</xdr:row>
          <xdr:rowOff>38100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https://vimeo.com/668100319/d100761449" TargetMode="External"/><Relationship Id="rId1" Type="http://schemas.openxmlformats.org/officeDocument/2006/relationships/hyperlink" Target="https://www.meti.go.jp/covid-19/jigyo_fukkatsu/pdf/summary.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9"/>
  <sheetViews>
    <sheetView workbookViewId="0">
      <selection activeCell="B19" sqref="B19"/>
    </sheetView>
  </sheetViews>
  <sheetFormatPr defaultColWidth="9" defaultRowHeight="15.75" x14ac:dyDescent="0.4"/>
  <cols>
    <col min="1" max="1" width="9" style="84"/>
    <col min="2" max="3" width="14.125" style="84" customWidth="1"/>
    <col min="4" max="4" width="106.25" style="84" bestFit="1" customWidth="1"/>
    <col min="5" max="16384" width="9" style="84"/>
  </cols>
  <sheetData>
    <row r="2" spans="2:4" x14ac:dyDescent="0.4">
      <c r="B2" s="79" t="s">
        <v>86</v>
      </c>
      <c r="C2" s="80" t="s">
        <v>87</v>
      </c>
      <c r="D2" s="79" t="s">
        <v>88</v>
      </c>
    </row>
    <row r="3" spans="2:4" x14ac:dyDescent="0.4">
      <c r="B3" s="81">
        <v>1</v>
      </c>
      <c r="C3" s="82">
        <v>44581</v>
      </c>
      <c r="D3" s="83" t="s">
        <v>89</v>
      </c>
    </row>
    <row r="4" spans="2:4" x14ac:dyDescent="0.4">
      <c r="B4" s="81">
        <v>1.0009999999999999</v>
      </c>
      <c r="C4" s="82">
        <v>44586</v>
      </c>
      <c r="D4" s="85" t="s">
        <v>90</v>
      </c>
    </row>
    <row r="5" spans="2:4" x14ac:dyDescent="0.4">
      <c r="B5" s="81">
        <v>1.0009999999999999</v>
      </c>
      <c r="C5" s="82">
        <v>44586</v>
      </c>
      <c r="D5" s="85" t="s">
        <v>91</v>
      </c>
    </row>
    <row r="6" spans="2:4" x14ac:dyDescent="0.4">
      <c r="B6" s="81">
        <v>1.0009999999999999</v>
      </c>
      <c r="C6" s="82">
        <v>44586</v>
      </c>
      <c r="D6" s="85" t="s">
        <v>105</v>
      </c>
    </row>
    <row r="7" spans="2:4" x14ac:dyDescent="0.4">
      <c r="B7" s="81">
        <v>1.0009999999999999</v>
      </c>
      <c r="C7" s="82">
        <v>44586</v>
      </c>
      <c r="D7" s="85" t="s">
        <v>104</v>
      </c>
    </row>
    <row r="8" spans="2:4" x14ac:dyDescent="0.4">
      <c r="B8" s="81">
        <v>1.002</v>
      </c>
      <c r="C8" s="82">
        <v>44594</v>
      </c>
      <c r="D8" s="85" t="s">
        <v>108</v>
      </c>
    </row>
    <row r="9" spans="2:4" x14ac:dyDescent="0.4">
      <c r="B9" s="81">
        <v>1.002</v>
      </c>
      <c r="C9" s="82">
        <v>44594</v>
      </c>
      <c r="D9" s="85" t="s">
        <v>106</v>
      </c>
    </row>
    <row r="10" spans="2:4" x14ac:dyDescent="0.4">
      <c r="B10" s="81">
        <v>1.002</v>
      </c>
      <c r="C10" s="82">
        <v>44594</v>
      </c>
      <c r="D10" s="85" t="s">
        <v>109</v>
      </c>
    </row>
    <row r="11" spans="2:4" x14ac:dyDescent="0.4">
      <c r="B11" s="81">
        <v>1.002</v>
      </c>
      <c r="C11" s="82">
        <v>44594</v>
      </c>
      <c r="D11" s="85" t="s">
        <v>110</v>
      </c>
    </row>
    <row r="12" spans="2:4" x14ac:dyDescent="0.4">
      <c r="B12" s="81">
        <v>1.002</v>
      </c>
      <c r="C12" s="82">
        <v>44594</v>
      </c>
      <c r="D12" s="85" t="s">
        <v>137</v>
      </c>
    </row>
    <row r="13" spans="2:4" x14ac:dyDescent="0.4">
      <c r="B13" s="81">
        <v>1.002</v>
      </c>
      <c r="C13" s="82">
        <v>44594</v>
      </c>
      <c r="D13" s="85" t="s">
        <v>148</v>
      </c>
    </row>
    <row r="14" spans="2:4" x14ac:dyDescent="0.4">
      <c r="B14" s="81">
        <v>1.002</v>
      </c>
      <c r="C14" s="82">
        <v>44594</v>
      </c>
      <c r="D14" s="85" t="s">
        <v>111</v>
      </c>
    </row>
    <row r="15" spans="2:4" x14ac:dyDescent="0.4">
      <c r="B15" s="81">
        <v>1.002</v>
      </c>
      <c r="C15" s="82">
        <v>44594</v>
      </c>
      <c r="D15" s="85" t="s">
        <v>130</v>
      </c>
    </row>
    <row r="16" spans="2:4" x14ac:dyDescent="0.4">
      <c r="B16" s="81">
        <v>1.002</v>
      </c>
      <c r="C16" s="82">
        <v>44594</v>
      </c>
      <c r="D16" s="85" t="s">
        <v>147</v>
      </c>
    </row>
    <row r="17" spans="2:4" x14ac:dyDescent="0.4">
      <c r="B17" s="81">
        <v>1.002</v>
      </c>
      <c r="C17" s="82">
        <v>44594</v>
      </c>
      <c r="D17" s="85" t="s">
        <v>139</v>
      </c>
    </row>
    <row r="18" spans="2:4" x14ac:dyDescent="0.4">
      <c r="B18" s="81">
        <v>1.002</v>
      </c>
      <c r="C18" s="82">
        <v>44594</v>
      </c>
      <c r="D18" s="85" t="s">
        <v>135</v>
      </c>
    </row>
    <row r="19" spans="2:4" x14ac:dyDescent="0.4">
      <c r="B19" s="81">
        <v>1.0029999999999999</v>
      </c>
      <c r="C19" s="82">
        <v>44614</v>
      </c>
      <c r="D19" s="85" t="s">
        <v>152</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showGridLines="0" tabSelected="1" workbookViewId="0"/>
  </sheetViews>
  <sheetFormatPr defaultColWidth="9" defaultRowHeight="15.75" x14ac:dyDescent="0.4"/>
  <cols>
    <col min="1" max="16384" width="9" style="84"/>
  </cols>
  <sheetData>
    <row r="1" spans="1:12" s="75" customFormat="1" ht="14.25" customHeight="1" x14ac:dyDescent="0.4">
      <c r="A1" s="73"/>
      <c r="B1" s="77" t="s">
        <v>79</v>
      </c>
      <c r="C1" s="77"/>
      <c r="D1" s="77"/>
      <c r="E1" s="74"/>
      <c r="F1" s="74"/>
      <c r="G1" s="74"/>
      <c r="H1" s="74"/>
      <c r="I1" s="74"/>
      <c r="J1" s="74"/>
      <c r="K1" s="74"/>
      <c r="L1" s="74"/>
    </row>
    <row r="2" spans="1:12" s="75" customFormat="1" x14ac:dyDescent="0.4">
      <c r="A2" s="73"/>
      <c r="B2" s="77"/>
      <c r="C2" s="77"/>
      <c r="D2" s="77"/>
      <c r="E2" s="74"/>
      <c r="F2" s="74"/>
      <c r="G2" s="74"/>
      <c r="H2" s="74"/>
      <c r="I2" s="74"/>
      <c r="J2" s="74"/>
      <c r="K2" s="74"/>
      <c r="L2" s="74"/>
    </row>
    <row r="3" spans="1:12" s="75" customFormat="1" x14ac:dyDescent="0.4">
      <c r="A3" s="76" t="s">
        <v>70</v>
      </c>
    </row>
    <row r="4" spans="1:12" s="75" customFormat="1" x14ac:dyDescent="0.4">
      <c r="A4" s="73" t="s">
        <v>71</v>
      </c>
      <c r="B4" s="75" t="s">
        <v>72</v>
      </c>
    </row>
    <row r="5" spans="1:12" s="75" customFormat="1" x14ac:dyDescent="0.4">
      <c r="A5" s="73"/>
      <c r="B5" s="75" t="s">
        <v>73</v>
      </c>
    </row>
    <row r="6" spans="1:12" s="75" customFormat="1" ht="6" customHeight="1" x14ac:dyDescent="0.4">
      <c r="A6" s="73"/>
    </row>
    <row r="7" spans="1:12" s="75" customFormat="1" x14ac:dyDescent="0.4">
      <c r="A7" s="73" t="s">
        <v>74</v>
      </c>
      <c r="B7" s="75" t="s">
        <v>92</v>
      </c>
    </row>
    <row r="8" spans="1:12" s="75" customFormat="1" x14ac:dyDescent="0.4">
      <c r="A8" s="73"/>
      <c r="B8" s="75" t="s">
        <v>75</v>
      </c>
    </row>
    <row r="9" spans="1:12" s="75" customFormat="1" ht="6" customHeight="1" x14ac:dyDescent="0.4">
      <c r="A9" s="73"/>
    </row>
    <row r="10" spans="1:12" s="75" customFormat="1" x14ac:dyDescent="0.4">
      <c r="A10" s="73" t="s">
        <v>76</v>
      </c>
      <c r="B10" s="75" t="s">
        <v>80</v>
      </c>
    </row>
    <row r="11" spans="1:12" s="75" customFormat="1" x14ac:dyDescent="0.4">
      <c r="A11" s="73"/>
      <c r="B11" s="75" t="s">
        <v>81</v>
      </c>
    </row>
    <row r="12" spans="1:12" s="75" customFormat="1" ht="6" customHeight="1" x14ac:dyDescent="0.4">
      <c r="A12" s="73"/>
    </row>
    <row r="13" spans="1:12" s="75" customFormat="1" x14ac:dyDescent="0.4">
      <c r="A13" s="73" t="s">
        <v>77</v>
      </c>
      <c r="B13" s="75" t="s">
        <v>82</v>
      </c>
    </row>
    <row r="14" spans="1:12" s="75" customFormat="1" x14ac:dyDescent="0.4">
      <c r="A14" s="73"/>
      <c r="B14" s="90" t="s">
        <v>84</v>
      </c>
    </row>
    <row r="15" spans="1:12" s="75" customFormat="1" ht="6" customHeight="1" x14ac:dyDescent="0.4">
      <c r="A15" s="73"/>
    </row>
    <row r="16" spans="1:12" s="75" customFormat="1" x14ac:dyDescent="0.4">
      <c r="A16" s="73" t="s">
        <v>93</v>
      </c>
      <c r="B16" s="75" t="s">
        <v>94</v>
      </c>
    </row>
    <row r="17" spans="1:2" s="75" customFormat="1" x14ac:dyDescent="0.4">
      <c r="A17" s="73"/>
      <c r="B17" s="75" t="s">
        <v>95</v>
      </c>
    </row>
    <row r="18" spans="1:2" s="75" customFormat="1" x14ac:dyDescent="0.4">
      <c r="A18" s="73"/>
      <c r="B18" s="89" t="s">
        <v>97</v>
      </c>
    </row>
    <row r="19" spans="1:2" s="75" customFormat="1" x14ac:dyDescent="0.4">
      <c r="A19" s="73"/>
      <c r="B19" s="89" t="s">
        <v>98</v>
      </c>
    </row>
    <row r="20" spans="1:2" s="75" customFormat="1" x14ac:dyDescent="0.4">
      <c r="A20" s="73"/>
      <c r="B20" s="91" t="s">
        <v>96</v>
      </c>
    </row>
    <row r="21" spans="1:2" s="75" customFormat="1" ht="6" customHeight="1" x14ac:dyDescent="0.4">
      <c r="A21" s="73"/>
    </row>
    <row r="22" spans="1:2" s="75" customFormat="1" x14ac:dyDescent="0.4">
      <c r="A22" s="88" t="s">
        <v>99</v>
      </c>
      <c r="B22" s="75" t="s">
        <v>100</v>
      </c>
    </row>
    <row r="23" spans="1:2" s="75" customFormat="1" x14ac:dyDescent="0.4">
      <c r="A23" s="73"/>
      <c r="B23" s="75" t="s">
        <v>103</v>
      </c>
    </row>
    <row r="24" spans="1:2" s="75" customFormat="1" x14ac:dyDescent="0.4">
      <c r="A24" s="73"/>
      <c r="B24" s="89" t="s">
        <v>101</v>
      </c>
    </row>
    <row r="25" spans="1:2" s="75" customFormat="1" x14ac:dyDescent="0.4">
      <c r="A25" s="73"/>
      <c r="B25" s="89" t="s">
        <v>102</v>
      </c>
    </row>
    <row r="26" spans="1:2" s="75" customFormat="1" ht="6" customHeight="1" x14ac:dyDescent="0.4">
      <c r="A26" s="73"/>
    </row>
    <row r="27" spans="1:2" s="75" customFormat="1" x14ac:dyDescent="0.4">
      <c r="A27" s="76" t="s">
        <v>78</v>
      </c>
    </row>
    <row r="28" spans="1:2" s="75" customFormat="1" x14ac:dyDescent="0.4">
      <c r="A28" s="73" t="s">
        <v>71</v>
      </c>
      <c r="B28" s="75" t="s">
        <v>138</v>
      </c>
    </row>
    <row r="29" spans="1:2" s="75" customFormat="1" x14ac:dyDescent="0.4">
      <c r="A29" s="73"/>
      <c r="B29" s="75" t="s">
        <v>83</v>
      </c>
    </row>
    <row r="30" spans="1:2" s="75" customFormat="1" x14ac:dyDescent="0.4">
      <c r="A30" s="73"/>
    </row>
    <row r="31" spans="1:2" s="75" customFormat="1" x14ac:dyDescent="0.4">
      <c r="A31" s="73" t="s">
        <v>74</v>
      </c>
      <c r="B31" s="75" t="s">
        <v>138</v>
      </c>
    </row>
    <row r="32" spans="1:2" s="75" customFormat="1" x14ac:dyDescent="0.4">
      <c r="A32" s="73"/>
      <c r="B32" s="75" t="s">
        <v>85</v>
      </c>
    </row>
    <row r="33" spans="1:2" s="75" customFormat="1" x14ac:dyDescent="0.4">
      <c r="A33" s="73"/>
    </row>
    <row r="34" spans="1:2" s="75" customFormat="1" x14ac:dyDescent="0.4">
      <c r="A34" s="73" t="s">
        <v>76</v>
      </c>
      <c r="B34" s="75" t="s">
        <v>140</v>
      </c>
    </row>
    <row r="35" spans="1:2" x14ac:dyDescent="0.4">
      <c r="A35" s="73"/>
      <c r="B35" s="75" t="s">
        <v>83</v>
      </c>
    </row>
    <row r="38" spans="1:2" x14ac:dyDescent="0.4">
      <c r="A38" s="84" t="s">
        <v>149</v>
      </c>
      <c r="B38" s="84" t="s">
        <v>150</v>
      </c>
    </row>
    <row r="39" spans="1:2" ht="18.75" x14ac:dyDescent="0.4">
      <c r="B39" s="112" t="s">
        <v>151</v>
      </c>
    </row>
  </sheetData>
  <phoneticPr fontId="3"/>
  <hyperlinks>
    <hyperlink ref="B14" r:id="rId1" xr:uid="{00000000-0004-0000-0100-000000000000}"/>
    <hyperlink ref="B39"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78"/>
  <sheetViews>
    <sheetView showGridLines="0" zoomScale="70" zoomScaleNormal="70" workbookViewId="0">
      <pane ySplit="7" topLeftCell="A8" activePane="bottomLeft" state="frozen"/>
      <selection pane="bottomLeft"/>
    </sheetView>
  </sheetViews>
  <sheetFormatPr defaultColWidth="9" defaultRowHeight="13.5" x14ac:dyDescent="0.4"/>
  <cols>
    <col min="1" max="1" width="5.625" style="1" customWidth="1"/>
    <col min="2" max="2" width="29.625" style="1" customWidth="1"/>
    <col min="3" max="3" width="33.75" style="1" customWidth="1"/>
    <col min="4" max="7" width="28.875" style="1" customWidth="1"/>
    <col min="8" max="11" width="13.375" style="1" customWidth="1"/>
    <col min="12" max="12" width="6.375" style="1" customWidth="1"/>
    <col min="13" max="13" width="13.375" style="1" customWidth="1"/>
    <col min="14" max="18" width="15.875" style="1" customWidth="1"/>
    <col min="19" max="19" width="12.625" style="1" hidden="1" customWidth="1"/>
    <col min="20" max="78" width="20.625" style="1" hidden="1" customWidth="1"/>
    <col min="79" max="80" width="20.75" style="1" hidden="1" customWidth="1"/>
    <col min="81" max="16384" width="9" style="1"/>
  </cols>
  <sheetData>
    <row r="1" spans="2:24" ht="9.75" customHeight="1" x14ac:dyDescent="0.4"/>
    <row r="2" spans="2:24" ht="21" x14ac:dyDescent="0.4">
      <c r="B2" s="21" t="s">
        <v>0</v>
      </c>
      <c r="C2" s="22"/>
      <c r="E2" s="2"/>
      <c r="H2" s="23" t="s">
        <v>31</v>
      </c>
      <c r="I2" s="24"/>
      <c r="J2" s="24"/>
      <c r="K2" s="25"/>
    </row>
    <row r="3" spans="2:24" ht="7.5" customHeight="1" x14ac:dyDescent="0.4">
      <c r="B3" s="3"/>
      <c r="C3" s="22"/>
      <c r="E3" s="2"/>
      <c r="H3" s="115" t="str">
        <f>IF(T14=COUNTIF($E$28:$G$28,"入力")*5,"申請対象外となります。",
IF(IF(T9="","",T9&amp;CHAR(10))&amp;IF(T10="","",T10&amp;CHAR(10))&amp;IF(T11="","",T11&amp;CHAR(10))&amp;IF(U9="","",U9&amp;CHAR(10))&amp;IF(U10="","",U10&amp;CHAR(10))&amp;IF(U11="","",U11&amp;CHAR(10))&amp;IF(T13="","",T13&amp;CHAR(10))&amp;IF(U31="","",U31&amp;CHAR(10))&amp;IF(U51="","",U51&amp;CHAR(10))&amp;IF(U70="","",U70&amp;CHAR(10))="","入力OK",IF(T9="","",T9&amp;CHAR(10))&amp;IF(T10="","",T10&amp;CHAR(10))&amp;IF(T11="","",T11&amp;CHAR(10))&amp;IF(U9="","",U9&amp;CHAR(10))&amp;IF(U10="","",U10&amp;CHAR(10))&amp;IF(U11="","",U11&amp;CHAR(10))&amp;IF(T13="","",T13&amp;CHAR(10))&amp;IF(U31="","",U31&amp;CHAR(10))&amp;IF(U51="","",U51&amp;CHAR(10))&amp;IF(U70="","",U70&amp;CHAR(10))))</f>
        <v>入力OK</v>
      </c>
      <c r="I3" s="116"/>
      <c r="J3" s="116"/>
      <c r="K3" s="117"/>
    </row>
    <row r="4" spans="2:24" ht="17.25" customHeight="1" x14ac:dyDescent="0.4">
      <c r="B4" s="114" t="s">
        <v>30</v>
      </c>
      <c r="C4" s="114"/>
      <c r="D4" s="114"/>
      <c r="E4" s="114"/>
      <c r="F4" s="114"/>
      <c r="H4" s="115"/>
      <c r="I4" s="116"/>
      <c r="J4" s="116"/>
      <c r="K4" s="117"/>
    </row>
    <row r="5" spans="2:24" ht="17.25" customHeight="1" x14ac:dyDescent="0.4">
      <c r="B5" s="114"/>
      <c r="C5" s="114"/>
      <c r="D5" s="114"/>
      <c r="E5" s="114"/>
      <c r="F5" s="114"/>
      <c r="H5" s="115"/>
      <c r="I5" s="116"/>
      <c r="J5" s="116"/>
      <c r="K5" s="117"/>
    </row>
    <row r="6" spans="2:24" ht="21.6" customHeight="1" x14ac:dyDescent="0.4">
      <c r="B6" s="114"/>
      <c r="C6" s="114"/>
      <c r="D6" s="114"/>
      <c r="E6" s="114"/>
      <c r="F6" s="114"/>
      <c r="H6" s="118"/>
      <c r="I6" s="119"/>
      <c r="J6" s="119"/>
      <c r="K6" s="120"/>
      <c r="S6" s="1" t="s">
        <v>29</v>
      </c>
    </row>
    <row r="7" spans="2:24" ht="9.75" customHeight="1" x14ac:dyDescent="0.4"/>
    <row r="8" spans="2:24" ht="12" customHeight="1" x14ac:dyDescent="0.4">
      <c r="B8" s="4"/>
      <c r="C8" s="4"/>
      <c r="D8" s="4"/>
      <c r="E8" s="4"/>
      <c r="F8" s="4"/>
      <c r="G8" s="4"/>
      <c r="H8" s="4"/>
      <c r="I8" s="4"/>
      <c r="J8" s="4"/>
      <c r="K8" s="4"/>
    </row>
    <row r="9" spans="2:24" ht="18" customHeight="1" x14ac:dyDescent="0.4">
      <c r="B9" s="4"/>
      <c r="C9" s="18" t="s">
        <v>8</v>
      </c>
      <c r="D9" s="19"/>
      <c r="E9" s="19"/>
      <c r="F9" s="19"/>
      <c r="G9" s="20"/>
      <c r="H9" s="4"/>
      <c r="I9" s="4"/>
      <c r="J9" s="4"/>
      <c r="K9" s="4"/>
      <c r="S9" s="1" t="s">
        <v>49</v>
      </c>
      <c r="T9" s="1" t="str">
        <f>IF(T12=1,IF(D22="",X15&amp;"の年間売上高を入力して下さい。",""),"")</f>
        <v/>
      </c>
      <c r="U9" s="1" t="str">
        <f>IF(T12=1,IF(D25="",X18&amp;"の年間売上高を入力して下さい。",""),"")</f>
        <v/>
      </c>
    </row>
    <row r="10" spans="2:24" ht="5.25" customHeight="1" x14ac:dyDescent="0.4">
      <c r="B10" s="4"/>
      <c r="C10" s="4"/>
      <c r="D10" s="4"/>
      <c r="E10" s="4"/>
      <c r="F10" s="4"/>
      <c r="G10" s="4"/>
      <c r="H10" s="4"/>
      <c r="I10" s="4"/>
      <c r="J10" s="4"/>
      <c r="K10" s="4"/>
      <c r="S10" s="1" t="s">
        <v>49</v>
      </c>
      <c r="T10" s="1" t="str">
        <f>IF(T12=1,IF(D23="",X16&amp;"の年間売上高を入力して下さい。",""),"")</f>
        <v/>
      </c>
      <c r="U10" s="1" t="str">
        <f>IF(T12=1,IF(D26="",X19&amp;"の年間売上高を入力して下さい。",""),"")</f>
        <v/>
      </c>
      <c r="X10" s="1" t="str">
        <f>IF(D31="","対象月2021年11月が未入力のため判定されません。","")</f>
        <v/>
      </c>
    </row>
    <row r="11" spans="2:24" ht="18" customHeight="1" x14ac:dyDescent="0.4">
      <c r="B11" s="4"/>
      <c r="C11" s="5" t="s">
        <v>4</v>
      </c>
      <c r="D11" s="4"/>
      <c r="E11" s="4"/>
      <c r="F11" s="4"/>
      <c r="G11" s="4"/>
      <c r="H11" s="4"/>
      <c r="I11" s="4"/>
      <c r="J11" s="4"/>
      <c r="K11" s="4"/>
      <c r="S11" s="1" t="s">
        <v>49</v>
      </c>
      <c r="T11" s="1" t="str">
        <f>IF(T12=1,IF(D24="",X17&amp;"の年間売上高を入力して下さい。",""),"")</f>
        <v/>
      </c>
      <c r="U11" s="1" t="str">
        <f>IF(C22="","会計期間を入力して下さい。","")</f>
        <v/>
      </c>
      <c r="X11" s="1" t="str">
        <f>IF(D32="","対象月2021年12月が未入力のため判定されません。","")</f>
        <v/>
      </c>
    </row>
    <row r="12" spans="2:24" ht="18" customHeight="1" x14ac:dyDescent="0.4">
      <c r="B12" s="4"/>
      <c r="C12" s="5" t="s">
        <v>5</v>
      </c>
      <c r="D12" s="4"/>
      <c r="E12" s="4"/>
      <c r="F12" s="4"/>
      <c r="G12" s="4"/>
      <c r="H12" s="4"/>
      <c r="I12" s="4"/>
      <c r="J12" s="4"/>
      <c r="K12" s="4"/>
      <c r="S12" s="1" t="s">
        <v>51</v>
      </c>
      <c r="T12" s="66">
        <v>1</v>
      </c>
      <c r="U12" s="8" t="s">
        <v>10</v>
      </c>
      <c r="X12" s="1" t="str">
        <f>IF(D33="","対象月2022年1月が未入力のため判定されません。","")</f>
        <v/>
      </c>
    </row>
    <row r="13" spans="2:24" ht="18" customHeight="1" x14ac:dyDescent="0.4">
      <c r="B13" s="4"/>
      <c r="C13" s="5" t="s">
        <v>6</v>
      </c>
      <c r="D13" s="4"/>
      <c r="E13" s="4"/>
      <c r="F13" s="4"/>
      <c r="G13" s="4"/>
      <c r="H13" s="4"/>
      <c r="I13" s="4"/>
      <c r="J13" s="4"/>
      <c r="K13" s="4"/>
      <c r="S13" s="1" t="s">
        <v>58</v>
      </c>
      <c r="T13" s="1" t="str">
        <f>IF(COUNTA(D31:D35)&gt;=1,"","2021年-2022年が売上高が未入力のため対象月を1ヶ月以上入力して下さい。")</f>
        <v/>
      </c>
      <c r="U13" s="1" t="s">
        <v>11</v>
      </c>
      <c r="X13" s="1" t="str">
        <f>IF(D34="","対象月2022年2月が未入力のため判定されません。","")</f>
        <v>対象月2022年2月が未入力のため判定されません。</v>
      </c>
    </row>
    <row r="14" spans="2:24" ht="18" customHeight="1" x14ac:dyDescent="0.4">
      <c r="B14" s="4"/>
      <c r="C14" s="5" t="s">
        <v>13</v>
      </c>
      <c r="D14" s="4"/>
      <c r="E14" s="4"/>
      <c r="F14" s="4"/>
      <c r="G14" s="4"/>
      <c r="H14" s="4"/>
      <c r="I14" s="4"/>
      <c r="J14" s="4"/>
      <c r="K14" s="4"/>
      <c r="S14" s="1" t="s">
        <v>65</v>
      </c>
      <c r="T14" s="1">
        <f>Z31+Z50+Z68</f>
        <v>5</v>
      </c>
      <c r="U14" s="1" t="s">
        <v>12</v>
      </c>
      <c r="X14" s="1" t="str">
        <f>IF(D35="","対象月2022年3月が未入力のため判定されません。","")</f>
        <v>対象月2022年3月が未入力のため判定されません。</v>
      </c>
    </row>
    <row r="15" spans="2:24" ht="18" customHeight="1" x14ac:dyDescent="0.4">
      <c r="B15" s="4"/>
      <c r="C15" s="5" t="s">
        <v>7</v>
      </c>
      <c r="D15" s="4"/>
      <c r="E15" s="4"/>
      <c r="F15" s="4"/>
      <c r="G15" s="4"/>
      <c r="H15" s="4"/>
      <c r="I15" s="4"/>
      <c r="J15" s="4"/>
      <c r="K15" s="4"/>
      <c r="X15" s="94" t="str">
        <f>TEXT(DATE(YEAR(C22),MONTH(C22)-11,1),"yyyy""年""mm""月""")&amp;"～"&amp;TEXT(DATE(YEAR(C22),MONTH(C22),1),"yyyy""年""mm""月""")</f>
        <v>2021年03月～2022年02月</v>
      </c>
    </row>
    <row r="16" spans="2:24" ht="5.25" customHeight="1" x14ac:dyDescent="0.4">
      <c r="B16" s="4"/>
      <c r="C16" s="5"/>
      <c r="D16" s="4"/>
      <c r="E16" s="4"/>
      <c r="F16" s="4"/>
      <c r="G16" s="4"/>
      <c r="H16" s="4"/>
      <c r="I16" s="4"/>
      <c r="J16" s="4"/>
      <c r="K16" s="4"/>
      <c r="S16" s="113" t="s">
        <v>45</v>
      </c>
      <c r="T16" s="113"/>
      <c r="U16" s="113"/>
      <c r="V16" s="113"/>
      <c r="X16" s="94" t="str">
        <f>TEXT(DATE(YEAR(C23),MONTH(C23)-11,1),"yyyy""年""mm""月""")&amp;"～"&amp;TEXT(DATE(YEAR(C23),MONTH(C23),1),"yyyy""年""mm""月""")</f>
        <v>2020年03月～2021年02月</v>
      </c>
    </row>
    <row r="17" spans="2:81" ht="18" customHeight="1" x14ac:dyDescent="0.4">
      <c r="B17" s="4"/>
      <c r="C17" s="18" t="s">
        <v>1</v>
      </c>
      <c r="D17" s="20"/>
      <c r="E17" s="20"/>
      <c r="F17" s="20"/>
      <c r="G17" s="20"/>
      <c r="H17" s="4"/>
      <c r="I17" s="4"/>
      <c r="J17" s="4"/>
      <c r="K17" s="4"/>
      <c r="N17" s="17"/>
      <c r="S17" s="1" t="s">
        <v>22</v>
      </c>
      <c r="U17" s="16" t="s">
        <v>26</v>
      </c>
      <c r="V17" s="17">
        <v>500000</v>
      </c>
      <c r="X17" s="94" t="str">
        <f>TEXT(DATE(YEAR(C24),MONTH(C24)-11,1),"yyyy""年""mm""月""")&amp;"～"&amp;TEXT(DATE(YEAR(C24),MONTH(C24),1),"yyyy""年""mm""月""")</f>
        <v>2019年03月～2020年02月</v>
      </c>
    </row>
    <row r="18" spans="2:81" ht="9" customHeight="1" x14ac:dyDescent="0.4">
      <c r="B18" s="6"/>
      <c r="C18" s="4"/>
      <c r="D18" s="4"/>
      <c r="E18" s="4"/>
      <c r="F18" s="4"/>
      <c r="G18" s="4"/>
      <c r="H18" s="4"/>
      <c r="I18" s="4"/>
      <c r="J18" s="4"/>
      <c r="K18" s="4"/>
      <c r="U18" s="1" t="s">
        <v>28</v>
      </c>
      <c r="V18" s="17">
        <v>300000</v>
      </c>
      <c r="X18" s="94" t="str">
        <f>TEXT(DATE(YEAR(C25),MONTH(C25)-11,1),"yyyy""年""mm""月""")&amp;"～"&amp;TEXT(DATE(YEAR(C25),MONTH(C25),1),"yyyy""年""mm""月""")</f>
        <v>2018年03月～2019年02月</v>
      </c>
    </row>
    <row r="19" spans="2:81" ht="18" customHeight="1" x14ac:dyDescent="0.4">
      <c r="B19" s="6" t="s">
        <v>9</v>
      </c>
      <c r="C19" s="4"/>
      <c r="D19" s="14"/>
      <c r="E19" s="4"/>
      <c r="F19" s="4"/>
      <c r="G19" s="4"/>
      <c r="H19" s="4"/>
      <c r="I19" s="4"/>
      <c r="J19" s="4"/>
      <c r="K19" s="4"/>
      <c r="S19" s="1" t="s">
        <v>23</v>
      </c>
      <c r="T19" s="1" t="s">
        <v>10</v>
      </c>
      <c r="U19" s="16" t="s">
        <v>26</v>
      </c>
      <c r="V19" s="17">
        <v>1000000</v>
      </c>
      <c r="X19" s="94" t="str">
        <f>TEXT(DATE(YEAR(C26),MONTH(C26)-11,1),"yyyy""年""mm""月""")&amp;"～"&amp;TEXT(DATE(YEAR(C26),MONTH(C26),1),"yyyy""年""mm""月""")</f>
        <v>2017年03月～2018年02月</v>
      </c>
    </row>
    <row r="20" spans="2:81" ht="9" customHeight="1" x14ac:dyDescent="0.4">
      <c r="B20" s="6"/>
      <c r="C20" s="4"/>
      <c r="D20" s="4"/>
      <c r="E20" s="4"/>
      <c r="F20" s="4"/>
      <c r="G20" s="4"/>
      <c r="H20" s="4"/>
      <c r="I20" s="4"/>
      <c r="J20" s="4"/>
      <c r="K20" s="4"/>
      <c r="T20" s="1" t="s">
        <v>10</v>
      </c>
      <c r="U20" s="1" t="s">
        <v>28</v>
      </c>
      <c r="V20" s="17">
        <v>600000</v>
      </c>
    </row>
    <row r="21" spans="2:81" ht="18.75" customHeight="1" x14ac:dyDescent="0.4">
      <c r="B21" s="6"/>
      <c r="C21" s="42" t="s">
        <v>67</v>
      </c>
      <c r="D21" s="42" t="s">
        <v>68</v>
      </c>
      <c r="E21" s="4"/>
      <c r="F21" s="4"/>
      <c r="G21" s="4"/>
      <c r="H21" s="4"/>
      <c r="I21" s="4"/>
      <c r="J21" s="4"/>
      <c r="K21" s="4"/>
      <c r="M21" s="113" t="s">
        <v>64</v>
      </c>
      <c r="N21" s="113"/>
      <c r="O21" s="113"/>
      <c r="P21" s="113"/>
      <c r="Q21" s="113"/>
      <c r="R21" s="113"/>
      <c r="T21" s="1" t="s">
        <v>11</v>
      </c>
      <c r="U21" s="16" t="s">
        <v>26</v>
      </c>
      <c r="V21" s="17">
        <v>1500000</v>
      </c>
    </row>
    <row r="22" spans="2:81" ht="18.75" customHeight="1" x14ac:dyDescent="0.4">
      <c r="B22" s="6" t="s">
        <v>69</v>
      </c>
      <c r="C22" s="105">
        <v>44593</v>
      </c>
      <c r="D22" s="71">
        <v>90000000</v>
      </c>
      <c r="E22" s="7" t="str">
        <f>T9</f>
        <v/>
      </c>
      <c r="F22" s="31"/>
      <c r="G22" s="4"/>
      <c r="H22" s="4"/>
      <c r="I22" s="4"/>
      <c r="J22" s="4"/>
      <c r="K22" s="4"/>
      <c r="M22" s="52"/>
      <c r="N22" s="52" t="s">
        <v>33</v>
      </c>
      <c r="O22" s="52" t="s">
        <v>34</v>
      </c>
      <c r="P22" s="52" t="s">
        <v>35</v>
      </c>
      <c r="Q22" s="52" t="s">
        <v>36</v>
      </c>
      <c r="R22" s="52" t="s">
        <v>37</v>
      </c>
      <c r="T22" s="1" t="s">
        <v>11</v>
      </c>
      <c r="U22" s="1" t="s">
        <v>28</v>
      </c>
      <c r="V22" s="17">
        <v>900000</v>
      </c>
    </row>
    <row r="23" spans="2:81" ht="18.75" customHeight="1" thickBot="1" x14ac:dyDescent="0.45">
      <c r="B23" s="6"/>
      <c r="C23" s="105">
        <f>IF(T12=2,"",IF(C22="","直近決算を入力することによって年月が表示されます。",DATE(YEAR(C22)-1,MONTH(C22),DAY(C22))))</f>
        <v>44228</v>
      </c>
      <c r="D23" s="71">
        <v>90000000</v>
      </c>
      <c r="E23" s="7" t="str">
        <f>T10</f>
        <v/>
      </c>
      <c r="F23" s="31"/>
      <c r="G23" s="4"/>
      <c r="H23" s="4"/>
      <c r="I23" s="4"/>
      <c r="J23" s="4"/>
      <c r="K23" s="4"/>
      <c r="M23" s="1" t="s">
        <v>50</v>
      </c>
      <c r="N23" s="33" t="str">
        <f>IF(COUNTIF($E$39,"&gt;="&amp;30)&gt;=1,"対象","対象外")</f>
        <v>対象外</v>
      </c>
      <c r="O23" s="33" t="str">
        <f>IF(COUNTIF($E$40,"&gt;="&amp;30)&gt;=1,"対象","対象外")</f>
        <v>対象外</v>
      </c>
      <c r="P23" s="33" t="str">
        <f>IF(COUNTIF($E$41,"&gt;="&amp;30)&gt;=1,"対象","対象外")</f>
        <v>対象</v>
      </c>
      <c r="Q23" s="33" t="str">
        <f>IF(COUNTIF($E$42,"&gt;="&amp;30)&gt;=1,"対象","対象外")</f>
        <v>対象外</v>
      </c>
      <c r="R23" s="33" t="str">
        <f>IF(COUNTIF($E$43,"&gt;="&amp;30)&gt;=1,"対象","対象外")</f>
        <v>対象外</v>
      </c>
      <c r="T23" s="1" t="s">
        <v>12</v>
      </c>
      <c r="U23" s="16" t="s">
        <v>26</v>
      </c>
      <c r="V23" s="17">
        <v>2500000</v>
      </c>
    </row>
    <row r="24" spans="2:81" ht="18" customHeight="1" thickTop="1" thickBot="1" x14ac:dyDescent="0.45">
      <c r="B24" s="6"/>
      <c r="C24" s="105">
        <f>IF(T12=2,"",IF(C22="","直近決算を入力することによって年月が表示されます。",DATE(YEAR(C23)-1,MONTH(C23),DAY(C23))))</f>
        <v>43862</v>
      </c>
      <c r="D24" s="71">
        <v>100000000</v>
      </c>
      <c r="E24" s="7" t="str">
        <f>T11</f>
        <v/>
      </c>
      <c r="F24" s="31"/>
      <c r="G24" s="4"/>
      <c r="H24" s="4"/>
      <c r="I24" s="4"/>
      <c r="J24" s="4"/>
      <c r="K24" s="4"/>
      <c r="M24" s="58" t="s">
        <v>14</v>
      </c>
      <c r="N24" s="63">
        <f>IFERROR(IF(N33="対象外",0,IF(U29-U30*5&lt;0,"＊＊＊＊＊",IF(N33&lt;=U29-U30*5,N33,U29-U30*5))),"")</f>
        <v>0</v>
      </c>
      <c r="O24" s="63">
        <f>IFERROR(IF(O33="対象外",0,IF(V29-V30*5&lt;0,"＊＊＊＊＊",IF(O33&lt;=V29-V30*5,O33,V29-V30*5))),"")</f>
        <v>0</v>
      </c>
      <c r="P24" s="63">
        <f>IFERROR(IF(P33="対象外",0,IF(W29-W30*5&lt;0,"＊＊＊＊＊",IF(P33&lt;=W29-W30*5,P33,W29-W30*5))),"")</f>
        <v>1000000</v>
      </c>
      <c r="Q24" s="63">
        <f>IFERROR(IF(Q33="対象外",0,IF(X29-X30*5&lt;0,"＊＊＊＊＊",IF(Q33&lt;=X29-X30*5,Q33,X29-X30*5))),"")</f>
        <v>0</v>
      </c>
      <c r="R24" s="64">
        <f>IFERROR(IF(R33="対象外",0,IF(Y29-Y30*5&lt;0,"＊＊＊＊＊",IF(R33&lt;=Y29-Y30*5,R33,Y29-Y30*5))),"")</f>
        <v>0</v>
      </c>
      <c r="T24" s="1" t="s">
        <v>12</v>
      </c>
      <c r="U24" s="1" t="s">
        <v>28</v>
      </c>
      <c r="V24" s="17">
        <v>1500000</v>
      </c>
      <c r="CC24" s="1" t="s">
        <v>66</v>
      </c>
    </row>
    <row r="25" spans="2:81" ht="18" customHeight="1" thickTop="1" x14ac:dyDescent="0.4">
      <c r="B25" s="6"/>
      <c r="C25" s="105">
        <f>IF(T12=2,"",IF(C22="","直近決算を入力することによって年月が表示されます。",DATE(YEAR(C24)-1,MONTH(C24),DAY(C24))))</f>
        <v>43497</v>
      </c>
      <c r="D25" s="71">
        <v>100000000</v>
      </c>
      <c r="E25" s="7" t="str">
        <f>U9</f>
        <v/>
      </c>
      <c r="F25" s="31"/>
      <c r="G25" s="4"/>
      <c r="H25" s="4"/>
      <c r="I25" s="4"/>
      <c r="J25" s="4"/>
      <c r="K25" s="4"/>
      <c r="M25" s="54" t="s">
        <v>3</v>
      </c>
      <c r="N25" s="54" t="str">
        <f>IFERROR(IF(OR(HLOOKUP("売上高",$C$29:$C$35,U33+2,0)="11月",HLOOKUP("売上高",$C$29:$C$35,U33+2,0)="12月"),"2021年"&amp;HLOOKUP("売上高",$C$29:$C$35,U33+2,0),"2022年"&amp;HLOOKUP("売上高",$C$29:$C$35,U33+2,0)),"")</f>
        <v>2021年11月</v>
      </c>
      <c r="O25" s="54" t="str">
        <f>IFERROR(IF(OR(HLOOKUP("売上高",$C$29:$C$35,V33+2,0)="11月",HLOOKUP("売上高",$C$29:$C$35,V33+2,0)="12月"),"2021年"&amp;HLOOKUP("売上高",$C$29:$C$35,V33+2,0),"2022年"&amp;HLOOKUP("売上高",$C$29:$C$35,V33+2,0)),"")</f>
        <v>2021年12月</v>
      </c>
      <c r="P25" s="54" t="str">
        <f>IFERROR(IF(OR(HLOOKUP("売上高",$C$29:$C$35,W33+2,0)="11月",HLOOKUP("売上高",$C$29:$C$35,W33+2,0)="12月"),"2021年"&amp;HLOOKUP("売上高",$C$29:$C$35,W33+2,0),"2022年"&amp;HLOOKUP("売上高",$C$29:$C$35,W33+2,0)),"")</f>
        <v>2022年1月</v>
      </c>
      <c r="Q25" s="54" t="str">
        <f>IFERROR(IF(OR(HLOOKUP("売上高",$C$29:$C$35,X33+2,0)="11月",HLOOKUP("売上高",$C$29:$C$35,X33+2,0)="12月"),"2021年"&amp;HLOOKUP("売上高",$C$29:$C$35,X33+2,0),"2022年"&amp;HLOOKUP("売上高",$C$29:$C$35,X33+2,0)),"")</f>
        <v>2022年2月</v>
      </c>
      <c r="R25" s="54" t="str">
        <f>IFERROR(IF(OR(HLOOKUP("売上高",$C$29:$C$35,Y33+2,0)="11月",HLOOKUP("売上高",$C$29:$C$35,Y33+2,0)="12月"),"2021年"&amp;HLOOKUP("売上高",$C$29:$C$35,Y33+2,0),"2022年"&amp;HLOOKUP("売上高",$C$29:$C$35,Y33+2,0)),"")</f>
        <v>2022年3月</v>
      </c>
    </row>
    <row r="26" spans="2:81" ht="18" customHeight="1" x14ac:dyDescent="0.4">
      <c r="B26" s="4"/>
      <c r="C26" s="105">
        <f>IF(T12=2,"",IF(C22="","直近決算を入力することによって年月が表示されます。",DATE(YEAR(C25)-1,MONTH(C25),DAY(C25))))</f>
        <v>43132</v>
      </c>
      <c r="D26" s="71">
        <v>90000000</v>
      </c>
      <c r="E26" s="7" t="str">
        <f>U10</f>
        <v/>
      </c>
      <c r="F26" s="31"/>
      <c r="G26" s="4"/>
      <c r="H26" s="4"/>
      <c r="I26" s="4"/>
      <c r="J26" s="4"/>
      <c r="K26" s="4"/>
      <c r="M26" s="55" t="s">
        <v>42</v>
      </c>
      <c r="N26" s="59">
        <f>IFERROR(HLOOKUP($D30,$D$30:$D$35,U33+1,0),"")</f>
        <v>9500000</v>
      </c>
      <c r="O26" s="59">
        <f>IFERROR(HLOOKUP($D30,$D$30:$D$35,V33+1,0),"")</f>
        <v>5000000</v>
      </c>
      <c r="P26" s="59">
        <f>IFERROR(HLOOKUP($D30,$D$30:$D$35,W33+1,0),"")</f>
        <v>5500000</v>
      </c>
      <c r="Q26" s="59">
        <f>IFERROR(HLOOKUP($D30,$D$30:$D$35,X33+1,0),"")</f>
        <v>0</v>
      </c>
      <c r="R26" s="59">
        <f>IFERROR(HLOOKUP($D30,$D$30:$D$35,Y33+1,0),"")</f>
        <v>0</v>
      </c>
    </row>
    <row r="27" spans="2:81" ht="18" customHeight="1" x14ac:dyDescent="0.4">
      <c r="B27" s="6"/>
      <c r="C27" s="67"/>
      <c r="D27" s="4"/>
      <c r="E27" s="4"/>
      <c r="F27" s="4"/>
      <c r="G27" s="4"/>
      <c r="H27" s="4"/>
      <c r="I27" s="4"/>
      <c r="J27" s="4"/>
      <c r="K27" s="4"/>
      <c r="M27" s="55" t="s">
        <v>2</v>
      </c>
      <c r="N27" s="55" t="str">
        <f>IFERROR(IF(OR(HLOOKUP("売上高",$C$29:$C$35,U33+2,0)="11月",HLOOKUP("売上高",$C$29:$C$35,U33+2,0)="12月"),"2020年"&amp;HLOOKUP("売上高",$C$29:$C$35,U33+2,0),"2021年"&amp;HLOOKUP("売上高",$C$29:$C$35,U33+2,0)),"")</f>
        <v>2020年11月</v>
      </c>
      <c r="O27" s="55" t="str">
        <f>IFERROR(IF(OR(HLOOKUP("売上高",$C$29:$C$35,V33+2,0)="11月",HLOOKUP("売上高",$C$29:$C$35,V33+2,0)="12月"),"2020年"&amp;HLOOKUP("売上高",$C$29:$C$35,V33+2,0),"2021年"&amp;HLOOKUP("売上高",$C$29:$C$35,V33+2,0)),"")</f>
        <v>2020年12月</v>
      </c>
      <c r="P27" s="55" t="str">
        <f>IFERROR(IF(OR(HLOOKUP("売上高",$C$29:$C$35,W33+2,0)="11月",HLOOKUP("売上高",$C$29:$C$35,W33+2,0)="12月"),"2020年"&amp;HLOOKUP("売上高",$C$29:$C$35,W33+2,0),"2021年"&amp;HLOOKUP("売上高",$C$29:$C$35,W33+2,0)),"")</f>
        <v>2021年1月</v>
      </c>
      <c r="Q27" s="55" t="str">
        <f>IFERROR(IF(OR(HLOOKUP("売上高",$C$29:$C$35,X33+2,0)="11月",HLOOKUP("売上高",$C$29:$C$35,X33+2,0)="12月"),"2020年"&amp;HLOOKUP("売上高",$C$29:$C$35,X33+2,0),"2021年"&amp;HLOOKUP("売上高",$C$29:$C$35,X33+2,0)),"")</f>
        <v>2021年2月</v>
      </c>
      <c r="R27" s="55" t="str">
        <f>IFERROR(IF(OR(HLOOKUP("売上高",$C$29:$C$35,Y33+2,0)="11月",HLOOKUP("売上高",$C$29:$C$35,Y33+2,0)="12月"),"2020年"&amp;HLOOKUP("売上高",$C$29:$C$35,Y33+2,0),"2021年"&amp;HLOOKUP("売上高",$C$29:$C$35,Y33+2,0)),"")</f>
        <v>2021年3月</v>
      </c>
    </row>
    <row r="28" spans="2:81" ht="18" customHeight="1" x14ac:dyDescent="0.4">
      <c r="B28" s="31"/>
      <c r="C28" s="31"/>
      <c r="D28" s="31"/>
      <c r="E28" s="65" t="s">
        <v>52</v>
      </c>
      <c r="F28" s="65" t="s">
        <v>52</v>
      </c>
      <c r="G28" s="65" t="s">
        <v>52</v>
      </c>
      <c r="H28" s="9" t="s">
        <v>54</v>
      </c>
      <c r="I28" s="31"/>
      <c r="J28" s="31"/>
      <c r="K28" s="31"/>
      <c r="M28" s="55" t="s">
        <v>42</v>
      </c>
      <c r="N28" s="59">
        <f>IFERROR(HLOOKUP($E$30,$E$30:$E$35,U33+1,0),"")</f>
        <v>12650000</v>
      </c>
      <c r="O28" s="59">
        <f>IFERROR(HLOOKUP($E$30,$E$30:$E$35,V33+1,0),"")</f>
        <v>5900000</v>
      </c>
      <c r="P28" s="59">
        <f>IFERROR(HLOOKUP($E$30,$E$30:$E$35,W33+1,0),"")</f>
        <v>11500000</v>
      </c>
      <c r="Q28" s="59">
        <f>IFERROR(HLOOKUP($E$30,$E$30:$E$35,X33+1,0),"")</f>
        <v>8500000</v>
      </c>
      <c r="R28" s="59">
        <f>IFERROR(HLOOKUP($E$30,$E$30:$E$35,Y33+1,0),"")</f>
        <v>10750000</v>
      </c>
      <c r="T28" s="113" t="s">
        <v>59</v>
      </c>
      <c r="U28" s="113"/>
      <c r="V28" s="113"/>
      <c r="W28" s="113"/>
      <c r="X28" s="113"/>
      <c r="Y28" s="113"/>
      <c r="Z28" s="113"/>
    </row>
    <row r="29" spans="2:81" ht="18" customHeight="1" x14ac:dyDescent="0.4">
      <c r="B29" s="41" t="s">
        <v>131</v>
      </c>
      <c r="C29" s="127" t="s">
        <v>39</v>
      </c>
      <c r="D29" s="96" t="s">
        <v>112</v>
      </c>
      <c r="E29" s="126" t="s">
        <v>113</v>
      </c>
      <c r="F29" s="126"/>
      <c r="G29" s="126"/>
      <c r="H29" s="31"/>
      <c r="I29" s="4"/>
      <c r="J29" s="4"/>
      <c r="K29" s="4"/>
      <c r="M29" s="55" t="s">
        <v>40</v>
      </c>
      <c r="N29" s="56">
        <f>IFERROR(HLOOKUP($E$38,$E$38:$E$43,U33+1,0),"")</f>
        <v>24</v>
      </c>
      <c r="O29" s="56">
        <f>IFERROR(HLOOKUP($E$38,$E$38:$E$43,V33+1,0),"")</f>
        <v>15</v>
      </c>
      <c r="P29" s="56">
        <f>IFERROR(HLOOKUP($E$38,$E$38:$E$43,W33+1,0),"")</f>
        <v>52</v>
      </c>
      <c r="Q29" s="56" t="str">
        <f>IFERROR(HLOOKUP($E$38,$E$38:$E$43,X33+1,0),"")</f>
        <v/>
      </c>
      <c r="R29" s="56" t="str">
        <f>IFERROR(HLOOKUP($E$38,$E$38:$E$43,Y33+1,0),"")</f>
        <v/>
      </c>
      <c r="U29" s="17">
        <f>IF($E$44="対象",$E36,"")</f>
        <v>49300000</v>
      </c>
      <c r="V29" s="17">
        <f>IF($E$44="対象",$E36,"")</f>
        <v>49300000</v>
      </c>
      <c r="W29" s="17">
        <f>IF($E$44="対象",$E36,"")</f>
        <v>49300000</v>
      </c>
      <c r="X29" s="17">
        <f>IF($E$44="対象",$E36,"")</f>
        <v>49300000</v>
      </c>
      <c r="Y29" s="17">
        <f>IF($E$44="対象",$E36,"")</f>
        <v>49300000</v>
      </c>
    </row>
    <row r="30" spans="2:81" ht="18" customHeight="1" x14ac:dyDescent="0.4">
      <c r="B30" s="31"/>
      <c r="C30" s="128"/>
      <c r="D30" s="96" t="s">
        <v>107</v>
      </c>
      <c r="E30" s="95" t="s">
        <v>55</v>
      </c>
      <c r="F30" s="95" t="s">
        <v>56</v>
      </c>
      <c r="G30" s="95" t="s">
        <v>57</v>
      </c>
      <c r="H30" s="4"/>
      <c r="I30" s="4"/>
      <c r="J30" s="4"/>
      <c r="K30" s="4"/>
      <c r="M30" s="55" t="s">
        <v>24</v>
      </c>
      <c r="N30" s="55" t="str">
        <f>IF(判定!$T$12=1,"法人","個人")</f>
        <v>法人</v>
      </c>
      <c r="O30" s="55" t="str">
        <f>IF(判定!$T$12=1,"法人","個人")</f>
        <v>法人</v>
      </c>
      <c r="P30" s="55" t="str">
        <f>IF(判定!$T$12=1,"法人","個人")</f>
        <v>法人</v>
      </c>
      <c r="Q30" s="55" t="str">
        <f>IF(判定!$T$12=1,"法人","個人")</f>
        <v>法人</v>
      </c>
      <c r="R30" s="55" t="str">
        <f>IF(判定!$T$12=1,"法人","個人")</f>
        <v>法人</v>
      </c>
      <c r="T30" s="1" t="s">
        <v>38</v>
      </c>
      <c r="U30" s="38">
        <f>IFERROR(HLOOKUP($D$30,$D$30:$D$35,U33+1,0),"")</f>
        <v>9500000</v>
      </c>
      <c r="V30" s="38">
        <f>IFERROR(HLOOKUP($D$30,$D$30:$D$35,V33+1,0),"")</f>
        <v>5000000</v>
      </c>
      <c r="W30" s="38">
        <f>IFERROR(HLOOKUP($D$30,$D$30:$D$35,W33+1,0),"")</f>
        <v>5500000</v>
      </c>
      <c r="X30" s="38">
        <f>IFERROR(HLOOKUP($D$30,$D$30:$D$35,X33+1,0),"")</f>
        <v>0</v>
      </c>
      <c r="Y30" s="38">
        <f>IFERROR(HLOOKUP($D$30,$D$30:$D$35,Y33+1,0),"")</f>
        <v>0</v>
      </c>
    </row>
    <row r="31" spans="2:81" ht="18" customHeight="1" x14ac:dyDescent="0.4">
      <c r="B31" s="31"/>
      <c r="C31" s="27" t="s">
        <v>33</v>
      </c>
      <c r="D31" s="46">
        <v>9500000</v>
      </c>
      <c r="E31" s="47">
        <v>12650000</v>
      </c>
      <c r="F31" s="47">
        <v>11500000</v>
      </c>
      <c r="G31" s="47">
        <v>11850000</v>
      </c>
      <c r="H31" s="121" t="str">
        <f>IF(T13="","",T13&amp;CHAR(10))&amp;IF(U31="","",U31&amp;CHAR(10))&amp;IF(U51="","",U51&amp;CHAR(10))&amp;IF(U70="","",U70&amp;CHAR(10))</f>
        <v/>
      </c>
      <c r="I31" s="122"/>
      <c r="J31" s="122"/>
      <c r="K31" s="122"/>
      <c r="M31" s="55" t="s">
        <v>25</v>
      </c>
      <c r="N31" s="55" t="str">
        <f>IF(N29&gt;=50,"50%以上",IF(N29&lt;30,"対象外","30%～50%未満"))</f>
        <v>対象外</v>
      </c>
      <c r="O31" s="55" t="str">
        <f>IF(O29&gt;=50,"50%以上",IF(O29&lt;30,"対象外","30%～50%未満"))</f>
        <v>対象外</v>
      </c>
      <c r="P31" s="55" t="str">
        <f>IF(P29&gt;=50,"50%以上",IF(P29&lt;30,"対象外","30%～50%未満"))</f>
        <v>50%以上</v>
      </c>
      <c r="Q31" s="55" t="str">
        <f>IF(Q29&gt;=50,"50%以上",IF(Q29&lt;30,"対象外","30%～50%未満"))</f>
        <v>50%以上</v>
      </c>
      <c r="R31" s="55" t="str">
        <f>IF(R29&gt;=50,"50%以上",IF(R29&lt;30,"対象外","30%～50%未満"))</f>
        <v>50%以上</v>
      </c>
      <c r="T31" s="1" t="s">
        <v>49</v>
      </c>
      <c r="U31" s="1" t="str">
        <f>IF(E28="入力不要","",IF(COUNTA(E31:E35)=5,"","2020年-2021年が未入力の月があります。"))</f>
        <v/>
      </c>
      <c r="V31" s="49"/>
      <c r="W31" s="49"/>
      <c r="X31" s="49"/>
      <c r="Y31" s="49"/>
      <c r="Z31" s="1">
        <f>IF(E28="入力",COUNTIF(U32:Y32,"対象外"),0)</f>
        <v>2</v>
      </c>
    </row>
    <row r="32" spans="2:81" ht="18" customHeight="1" x14ac:dyDescent="0.4">
      <c r="B32" s="31"/>
      <c r="C32" s="27" t="s">
        <v>34</v>
      </c>
      <c r="D32" s="46">
        <v>5000000</v>
      </c>
      <c r="E32" s="47">
        <v>5900000</v>
      </c>
      <c r="F32" s="47">
        <v>8000000</v>
      </c>
      <c r="G32" s="47">
        <v>5600000</v>
      </c>
      <c r="H32" s="121"/>
      <c r="I32" s="122"/>
      <c r="J32" s="122"/>
      <c r="K32" s="122"/>
      <c r="M32" s="55" t="s">
        <v>27</v>
      </c>
      <c r="N32" s="78" t="str">
        <f>IF($T$12=2,"",IF(IFERROR(HLOOKUP(DATEVALUE(N27),$U$76:$CB$77,2,0),"")="","会計期間を入力して下さい。",IF(HLOOKUP(DATEVALUE(N27),$U$76:$CB$77,2,0)&gt;500000000,$U$14,IF(HLOOKUP(DATEVALUE(N27),$U$76:$CB$77,2,0)&lt;=100000000,$U$12,$U$13))))</f>
        <v>1億円以下</v>
      </c>
      <c r="O32" s="78" t="str">
        <f>IF($T$12=2,"",IF(IFERROR(HLOOKUP(DATEVALUE(O27),$U$76:$CB$77,2,0),"")="","会計期間を入力して下さい。",IF(HLOOKUP(DATEVALUE(O27),$U$76:$CB$77,2,0)&gt;500000000,$U$14,IF(HLOOKUP(DATEVALUE(O27),$U$76:$CB$77,2,0)&lt;=100000000,$U$12,$U$13))))</f>
        <v>1億円以下</v>
      </c>
      <c r="P32" s="78" t="str">
        <f>IF($T$12=2,"",IF(IFERROR(HLOOKUP(DATEVALUE(P27),$U$76:$CB$77,2,0),"")="","会計期間を入力して下さい。",IF(HLOOKUP(DATEVALUE(P27),$U$76:$CB$77,2,0)&gt;500000000,$U$14,IF(HLOOKUP(DATEVALUE(P27),$U$76:$CB$77,2,0)&lt;=100000000,$U$12,$U$13))))</f>
        <v>1億円以下</v>
      </c>
      <c r="Q32" s="78" t="str">
        <f>IF($T$12=2,"",IF(IFERROR(HLOOKUP(DATEVALUE(Q27),$U$76:$CB$77,2,0),"")="","会計期間を入力して下さい。",IF(HLOOKUP(DATEVALUE(Q27),$U$76:$CB$77,2,0)&gt;500000000,$U$14,IF(HLOOKUP(DATEVALUE(Q27),$U$76:$CB$77,2,0)&lt;=100000000,$U$12,$U$13))))</f>
        <v>1億円以下</v>
      </c>
      <c r="R32" s="78" t="str">
        <f>IF($T$12=2,"",IF(IFERROR(HLOOKUP(DATEVALUE(R27),$U$76:$CB$77,2,0),"")="","会計期間を入力して下さい。",IF(HLOOKUP(DATEVALUE(R27),$U$76:$CB$77,2,0)&gt;500000000,$U$14,IF(HLOOKUP(DATEVALUE(R27),$U$76:$CB$77,2,0)&lt;=100000000,$U$12,$U$13))))</f>
        <v>1億円以下</v>
      </c>
      <c r="T32" s="1" t="s">
        <v>40</v>
      </c>
      <c r="U32" s="32" t="str">
        <f>IF(COUNTA(E31)=1,IF(E39&gt;=30,E39,"対象外"),"未入力")</f>
        <v>対象外</v>
      </c>
      <c r="V32" s="32" t="str">
        <f>IF(COUNTA(E32)=1,IF(E40&gt;=30,E40,"対象外"),"未入力")</f>
        <v>対象外</v>
      </c>
      <c r="W32" s="32">
        <f>IF(COUNTA(E33)=1,IF(E41&gt;=30,E41,"対象外"),"未入力")</f>
        <v>52</v>
      </c>
      <c r="X32" s="32" t="str">
        <f>IF(COUNTA(E34)=1,IF(E42&gt;=30,E42,"対象外"),"未入力")</f>
        <v/>
      </c>
      <c r="Y32" s="32" t="str">
        <f>IF(COUNTA(E35)=1,IF(E43&gt;=30,E43,"対象外"),"未入力")</f>
        <v/>
      </c>
    </row>
    <row r="33" spans="1:81" ht="18" customHeight="1" x14ac:dyDescent="0.4">
      <c r="B33" s="31"/>
      <c r="C33" s="27" t="s">
        <v>35</v>
      </c>
      <c r="D33" s="46">
        <v>5500000</v>
      </c>
      <c r="E33" s="47">
        <v>11500000</v>
      </c>
      <c r="F33" s="47">
        <v>11200000</v>
      </c>
      <c r="G33" s="47">
        <v>8600000</v>
      </c>
      <c r="H33" s="121"/>
      <c r="I33" s="122"/>
      <c r="J33" s="122"/>
      <c r="K33" s="122"/>
      <c r="M33" s="55" t="s">
        <v>43</v>
      </c>
      <c r="N33" s="60" t="str">
        <f>IF(N29="","対象外",IF(N30="個人",IF(N31=$U$17,$V$17,IF(N31=$U$18,$V$18,"対象外")),IF(N31="対象外","対象外",IF(N32=$T$19,IF(N31=$U$19,$V$19,$V$20),IF(N32=$T$21,IF(N31=$U$21,$V$21,$V$22),IF(N32=$T$23,IF(N31=$U$23,$V$23,$V$24)))))))</f>
        <v>対象外</v>
      </c>
      <c r="O33" s="60" t="str">
        <f>IF(O29="","対象外",IF(O30="個人",IF(O31=$U$17,$V$17,IF(O31=$U$18,$V$18,"対象外")),IF(O31="対象外","対象外",IF(O32=$T$19,IF(O31=$U$19,$V$19,$V$20),IF(O32=$T$21,IF(O31=$U$21,$V$21,$V$22),IF(O32=$T$23,IF(O31=$U$23,$V$23,$V$24)))))))</f>
        <v>対象外</v>
      </c>
      <c r="P33" s="60">
        <f>IF(P29="","対象外",IF(P30="個人",IF(P31=$U$17,$V$17,IF(P31=$U$18,$V$18,"対象外")),IF(P31="対象外","対象外",IF(P32=$T$19,IF(P31=$U$19,$V$19,$V$20),IF(P32=$T$21,IF(P31=$U$21,$V$21,$V$22),IF(P32=$T$23,IF(P31=$U$23,$V$23,$V$24)))))))</f>
        <v>1000000</v>
      </c>
      <c r="Q33" s="60" t="str">
        <f>IF(Q29="","対象外",IF(Q30="個人",IF(Q31=$U$17,$V$17,IF(Q31=$U$18,$V$18,"対象外")),IF(Q31="対象外","対象外",IF(Q32=$T$19,IF(Q31=$U$19,$V$19,$V$20),IF(Q32=$T$21,IF(Q31=$U$21,$V$21,$V$22),IF(Q32=$T$23,IF(Q31=$U$23,$V$23,$V$24)))))))</f>
        <v>対象外</v>
      </c>
      <c r="R33" s="60" t="str">
        <f>IF(R29="","対象外",IF(R30="個人",IF(R31=$U$17,$V$17,IF(R31=$U$18,$V$18,"対象外")),IF(R31="対象外","対象外",IF(R32=$T$19,IF(R31=$U$19,$V$19,$V$20),IF(R32=$T$21,IF(R31=$U$21,$V$21,$V$22),IF(R32=$T$23,IF(R31=$U$23,$V$23,$V$24)))))))</f>
        <v>対象外</v>
      </c>
      <c r="T33" s="1" t="s">
        <v>44</v>
      </c>
      <c r="U33" s="1">
        <v>1</v>
      </c>
      <c r="V33" s="1">
        <v>2</v>
      </c>
      <c r="W33" s="1">
        <v>3</v>
      </c>
      <c r="X33" s="1">
        <v>4</v>
      </c>
      <c r="Y33" s="1">
        <v>5</v>
      </c>
    </row>
    <row r="34" spans="1:81" ht="18" customHeight="1" x14ac:dyDescent="0.4">
      <c r="A34" s="1" t="s">
        <v>136</v>
      </c>
      <c r="B34" s="31"/>
      <c r="C34" s="27" t="s">
        <v>36</v>
      </c>
      <c r="D34" s="86"/>
      <c r="E34" s="47">
        <v>8500000</v>
      </c>
      <c r="F34" s="47">
        <v>8500000</v>
      </c>
      <c r="G34" s="47">
        <v>7600000</v>
      </c>
      <c r="H34" s="121"/>
      <c r="I34" s="122"/>
      <c r="J34" s="122"/>
      <c r="K34" s="122"/>
    </row>
    <row r="35" spans="1:81" ht="18" customHeight="1" thickBot="1" x14ac:dyDescent="0.45">
      <c r="B35" s="31"/>
      <c r="C35" s="28" t="s">
        <v>37</v>
      </c>
      <c r="D35" s="87"/>
      <c r="E35" s="48">
        <v>10750000</v>
      </c>
      <c r="F35" s="48">
        <v>12750000</v>
      </c>
      <c r="G35" s="48">
        <v>12750000</v>
      </c>
      <c r="H35" s="121"/>
      <c r="I35" s="122"/>
      <c r="J35" s="122"/>
      <c r="K35" s="122"/>
    </row>
    <row r="36" spans="1:81" ht="18" customHeight="1" thickTop="1" x14ac:dyDescent="0.4">
      <c r="B36" s="31"/>
      <c r="C36" s="29" t="s">
        <v>48</v>
      </c>
      <c r="D36" s="30">
        <f>SUM(D31:D35)</f>
        <v>20000000</v>
      </c>
      <c r="E36" s="30">
        <f>SUM(E31:E35)</f>
        <v>49300000</v>
      </c>
      <c r="F36" s="30">
        <f>SUM(F31:F35)</f>
        <v>51950000</v>
      </c>
      <c r="G36" s="30">
        <f>SUM(G31:G35)</f>
        <v>46400000</v>
      </c>
      <c r="H36" s="4"/>
      <c r="I36" s="4"/>
      <c r="J36" s="4"/>
      <c r="K36" s="4"/>
      <c r="M36" s="113" t="s">
        <v>63</v>
      </c>
      <c r="N36" s="113"/>
      <c r="O36" s="113"/>
      <c r="P36" s="113"/>
      <c r="Q36" s="113"/>
      <c r="R36" s="113"/>
    </row>
    <row r="37" spans="1:81" ht="18" customHeight="1" x14ac:dyDescent="0.4">
      <c r="B37" s="31"/>
      <c r="C37" s="13"/>
      <c r="D37" s="4"/>
      <c r="E37" s="4"/>
      <c r="F37" s="4"/>
      <c r="G37" s="4"/>
      <c r="H37" s="4"/>
      <c r="I37" s="4"/>
      <c r="J37" s="4"/>
      <c r="K37" s="4"/>
      <c r="M37" s="52"/>
      <c r="N37" s="52" t="s">
        <v>33</v>
      </c>
      <c r="O37" s="52" t="s">
        <v>34</v>
      </c>
      <c r="P37" s="52" t="s">
        <v>35</v>
      </c>
      <c r="Q37" s="52" t="s">
        <v>36</v>
      </c>
      <c r="R37" s="52" t="s">
        <v>37</v>
      </c>
    </row>
    <row r="38" spans="1:81" ht="18" customHeight="1" thickBot="1" x14ac:dyDescent="0.45">
      <c r="B38" s="31"/>
      <c r="C38" s="26" t="s">
        <v>32</v>
      </c>
      <c r="D38" s="26" t="str">
        <f>D30</f>
        <v>2021年-2022年</v>
      </c>
      <c r="E38" s="26" t="str">
        <f>E30</f>
        <v>2020年-2021年</v>
      </c>
      <c r="F38" s="26" t="str">
        <f>F30</f>
        <v>2019年-2020年</v>
      </c>
      <c r="G38" s="26" t="str">
        <f>G30</f>
        <v>2018年-2019年</v>
      </c>
      <c r="H38" s="4"/>
      <c r="I38" s="4"/>
      <c r="J38" s="4"/>
      <c r="K38" s="4"/>
      <c r="M38" s="1" t="s">
        <v>50</v>
      </c>
      <c r="N38" s="33" t="str">
        <f>IF(COUNTIF(F39,"&gt;="&amp;30)&gt;=1,"対象","対象外")</f>
        <v>対象外</v>
      </c>
      <c r="O38" s="33" t="str">
        <f>IF(COUNTIF(F40,"&gt;="&amp;30)&gt;=1,"対象","対象外")</f>
        <v>対象</v>
      </c>
      <c r="P38" s="33" t="str">
        <f>IF(COUNTIF(F41,"&gt;="&amp;30)&gt;=1,"対象","対象外")</f>
        <v>対象</v>
      </c>
      <c r="Q38" s="33" t="str">
        <f>IF(COUNTIF(F42,"&gt;="&amp;30)&gt;=1,"対象","対象外")</f>
        <v>対象外</v>
      </c>
      <c r="R38" s="33" t="str">
        <f>IF(COUNTIF(F43,"&gt;="&amp;30)&gt;=1,"対象","対象外")</f>
        <v>対象外</v>
      </c>
    </row>
    <row r="39" spans="1:81" ht="18" customHeight="1" thickTop="1" thickBot="1" x14ac:dyDescent="0.45">
      <c r="B39" s="31"/>
      <c r="C39" s="27" t="s">
        <v>33</v>
      </c>
      <c r="D39" s="39"/>
      <c r="E39" s="40">
        <f t="shared" ref="E39:G43" si="0">IFERROR(IF($D31="","",ROUNDDOWN((E31-$D31)/E31*100,0)),"")</f>
        <v>24</v>
      </c>
      <c r="F39" s="40">
        <f t="shared" si="0"/>
        <v>17</v>
      </c>
      <c r="G39" s="40">
        <f t="shared" si="0"/>
        <v>19</v>
      </c>
      <c r="H39" s="4"/>
      <c r="I39" s="4"/>
      <c r="J39" s="4"/>
      <c r="K39" s="4"/>
      <c r="M39" s="58" t="s">
        <v>14</v>
      </c>
      <c r="N39" s="61">
        <f>IFERROR(IF(N48="対象外",0,IF(U49-U50*5&lt;0,"＊＊＊＊＊",IF(N48&lt;=U49-U50*5,N48,U49-U50*5))),"")</f>
        <v>0</v>
      </c>
      <c r="O39" s="61">
        <f>IFERROR(IF(O48="対象外",0,IF(V49-V50*5&lt;0,"＊＊＊＊＊",IF(O48&lt;=V49-V50*5,O48,V49-V50*5))),"")</f>
        <v>600000</v>
      </c>
      <c r="P39" s="61">
        <f>IFERROR(IF(P48="対象外",0,IF(W49-W50*5&lt;0,"＊＊＊＊＊",IF(P48&lt;=W49-W50*5,P48,W49-W50*5))),"")</f>
        <v>1000000</v>
      </c>
      <c r="Q39" s="61">
        <f>IFERROR(IF(Q48="対象外",0,IF(X49-X50*5&lt;0,"＊＊＊＊＊",IF(Q48&lt;=X49-X50*5,Q48,X49-X50*5))),"")</f>
        <v>0</v>
      </c>
      <c r="R39" s="62">
        <f>IFERROR(IF(R48="対象外",0,IF(Y49-Y50*5&lt;0,"＊＊＊＊＊",IF(R48&lt;=Y49-Y50*5,R48,Y49-Y50*5))),"")</f>
        <v>0</v>
      </c>
      <c r="CC39" s="1" t="s">
        <v>66</v>
      </c>
    </row>
    <row r="40" spans="1:81" ht="18" customHeight="1" thickTop="1" x14ac:dyDescent="0.4">
      <c r="B40" s="31"/>
      <c r="C40" s="27" t="s">
        <v>34</v>
      </c>
      <c r="D40" s="39"/>
      <c r="E40" s="40">
        <f t="shared" si="0"/>
        <v>15</v>
      </c>
      <c r="F40" s="40">
        <f t="shared" si="0"/>
        <v>37</v>
      </c>
      <c r="G40" s="40">
        <f t="shared" si="0"/>
        <v>10</v>
      </c>
      <c r="H40" s="4"/>
      <c r="I40" s="4"/>
      <c r="J40" s="4"/>
      <c r="K40" s="4"/>
      <c r="M40" s="57" t="s">
        <v>3</v>
      </c>
      <c r="N40" s="57" t="str">
        <f>IFERROR(IF(OR(HLOOKUP("売上高",$C$29:$C$35,U53+2,0)="11月",HLOOKUP("売上高",$C$29:$C$35,U53+2,0)="12月"),"2021年"&amp;HLOOKUP("売上高",$C$29:$C$35,U53+2,0),"2022年"&amp;HLOOKUP("売上高",$C$29:$C$35,U53+2,0)),"")</f>
        <v>2021年11月</v>
      </c>
      <c r="O40" s="57" t="str">
        <f>IFERROR(IF(OR(HLOOKUP("売上高",$C$29:$C$35,V53+2,0)="11月",HLOOKUP("売上高",$C$29:$C$35,V53+2,0)="12月"),"2021年"&amp;HLOOKUP("売上高",$C$29:$C$35,V53+2,0),"2022年"&amp;HLOOKUP("売上高",$C$29:$C$35,V53+2,0)),"")</f>
        <v>2021年12月</v>
      </c>
      <c r="P40" s="57" t="str">
        <f>IFERROR(IF(OR(HLOOKUP("売上高",$C$29:$C$35,W53+2,0)="11月",HLOOKUP("売上高",$C$29:$C$35,W53+2,0)="12月"),"2021年"&amp;HLOOKUP("売上高",$C$29:$C$35,W53+2,0),"2022年"&amp;HLOOKUP("売上高",$C$29:$C$35,W53+2,0)),"")</f>
        <v>2022年1月</v>
      </c>
      <c r="Q40" s="57" t="str">
        <f>IFERROR(IF(OR(HLOOKUP("売上高",$C$29:$C$35,X53+2,0)="11月",HLOOKUP("売上高",$C$29:$C$35,X53+2,0)="12月"),"2021年"&amp;HLOOKUP("売上高",$C$29:$C$35,X53+2,0),"2022年"&amp;HLOOKUP("売上高",$C$29:$C$35,X53+2,0)),"")</f>
        <v>2022年2月</v>
      </c>
      <c r="R40" s="57" t="str">
        <f>IFERROR(IF(OR(HLOOKUP("売上高",$C$29:$C$35,Y53+2,0)="11月",HLOOKUP("売上高",$C$29:$C$35,Y53+2,0)="12月"),"2021年"&amp;HLOOKUP("売上高",$C$29:$C$35,Y53+2,0),"2022年"&amp;HLOOKUP("売上高",$C$29:$C$35,Y53+2,0)),"")</f>
        <v>2022年3月</v>
      </c>
    </row>
    <row r="41" spans="1:81" ht="18" customHeight="1" x14ac:dyDescent="0.4">
      <c r="B41" s="31"/>
      <c r="C41" s="27" t="s">
        <v>35</v>
      </c>
      <c r="D41" s="39"/>
      <c r="E41" s="40">
        <f t="shared" si="0"/>
        <v>52</v>
      </c>
      <c r="F41" s="40">
        <f t="shared" si="0"/>
        <v>50</v>
      </c>
      <c r="G41" s="40">
        <f t="shared" si="0"/>
        <v>36</v>
      </c>
      <c r="H41" s="4"/>
      <c r="I41" s="4"/>
      <c r="J41" s="4"/>
      <c r="K41" s="4"/>
      <c r="M41" s="55" t="s">
        <v>42</v>
      </c>
      <c r="N41" s="59">
        <f>IFERROR(HLOOKUP($D$30,$D$30:$D$35,U53+1,0),"")</f>
        <v>9500000</v>
      </c>
      <c r="O41" s="59">
        <f>IFERROR(HLOOKUP($D$30,$D$30:$D$35,V53+1,0),"")</f>
        <v>5000000</v>
      </c>
      <c r="P41" s="59">
        <f>IFERROR(HLOOKUP($D$30,$D$30:$D$35,W53+1,0),"")</f>
        <v>5500000</v>
      </c>
      <c r="Q41" s="59">
        <f>IFERROR(HLOOKUP($D$30,$D$30:$D$35,X53+1,0),"")</f>
        <v>0</v>
      </c>
      <c r="R41" s="59">
        <f>IFERROR(HLOOKUP($D$30,$D$30:$D$35,Y53+1,0),"")</f>
        <v>0</v>
      </c>
    </row>
    <row r="42" spans="1:81" ht="18" customHeight="1" x14ac:dyDescent="0.4">
      <c r="B42" s="31"/>
      <c r="C42" s="27" t="s">
        <v>36</v>
      </c>
      <c r="D42" s="39"/>
      <c r="E42" s="40" t="str">
        <f t="shared" si="0"/>
        <v/>
      </c>
      <c r="F42" s="40" t="str">
        <f t="shared" si="0"/>
        <v/>
      </c>
      <c r="G42" s="40" t="str">
        <f t="shared" si="0"/>
        <v/>
      </c>
      <c r="H42" s="4"/>
      <c r="I42" s="4"/>
      <c r="J42" s="4"/>
      <c r="K42" s="4"/>
      <c r="M42" s="55" t="s">
        <v>2</v>
      </c>
      <c r="N42" s="55" t="str">
        <f>IFERROR(IF(OR(HLOOKUP("売上高",$C$29:$C$35,U53+2,0)="11月",HLOOKUP("売上高",$C$29:$C$35,U53+2,0)="12月"),"2019年"&amp;HLOOKUP("売上高",$C$29:$C$35,U53+2,0),"2020年"&amp;HLOOKUP("売上高",$C$29:$C$35,U53+2,0)),"")</f>
        <v>2019年11月</v>
      </c>
      <c r="O42" s="55" t="str">
        <f>IFERROR(IF(OR(HLOOKUP("売上高",$C$29:$C$35,V53+2,0)="11月",HLOOKUP("売上高",$C$29:$C$35,V53+2,0)="12月"),"2019年"&amp;HLOOKUP("売上高",$C$29:$C$35,V53+2,0),"2020年"&amp;HLOOKUP("売上高",$C$29:$C$35,V53+2,0)),"")</f>
        <v>2019年12月</v>
      </c>
      <c r="P42" s="55" t="str">
        <f>IFERROR(IF(OR(HLOOKUP("売上高",$C$29:$C$35,W53+2,0)="11月",HLOOKUP("売上高",$C$29:$C$35,W53+2,0)="12月"),"2019年"&amp;HLOOKUP("売上高",$C$29:$C$35,W53+2,0),"2020年"&amp;HLOOKUP("売上高",$C$29:$C$35,W53+2,0)),"")</f>
        <v>2020年1月</v>
      </c>
      <c r="Q42" s="55" t="str">
        <f>IFERROR(IF(OR(HLOOKUP("売上高",$C$29:$C$35,X53+2,0)="11月",HLOOKUP("売上高",$C$29:$C$35,X53+2,0)="12月"),"2019年"&amp;HLOOKUP("売上高",$C$29:$C$35,X53+2,0),"2020年"&amp;HLOOKUP("売上高",$C$29:$C$35,X53+2,0)),"")</f>
        <v>2020年2月</v>
      </c>
      <c r="R42" s="55" t="str">
        <f>IFERROR(IF(OR(HLOOKUP("売上高",$C$29:$C$35,Y53+2,0)="11月",HLOOKUP("売上高",$C$29:$C$35,Y53+2,0)="12月"),"2019年"&amp;HLOOKUP("売上高",$C$29:$C$35,Y53+2,0),"2020年"&amp;HLOOKUP("売上高",$C$29:$C$35,Y53+2,0)),"")</f>
        <v>2020年3月</v>
      </c>
    </row>
    <row r="43" spans="1:81" ht="18" customHeight="1" thickBot="1" x14ac:dyDescent="0.45">
      <c r="B43" s="31"/>
      <c r="C43" s="27" t="s">
        <v>37</v>
      </c>
      <c r="D43" s="39"/>
      <c r="E43" s="40" t="str">
        <f t="shared" si="0"/>
        <v/>
      </c>
      <c r="F43" s="40" t="str">
        <f t="shared" si="0"/>
        <v/>
      </c>
      <c r="G43" s="40" t="str">
        <f t="shared" si="0"/>
        <v/>
      </c>
      <c r="H43" s="4"/>
      <c r="I43" s="4"/>
      <c r="J43" s="4"/>
      <c r="K43" s="4"/>
      <c r="M43" s="55" t="s">
        <v>42</v>
      </c>
      <c r="N43" s="59">
        <f>IFERROR(HLOOKUP($F$30,$F$30:$F$35,U53+1,0),"")</f>
        <v>11500000</v>
      </c>
      <c r="O43" s="59">
        <f>IFERROR(HLOOKUP($F$30,$F$30:$F$35,V53+1,0),"")</f>
        <v>8000000</v>
      </c>
      <c r="P43" s="59">
        <f>IFERROR(HLOOKUP($F$30,$F$30:$F$35,W53+1,0),"")</f>
        <v>11200000</v>
      </c>
      <c r="Q43" s="59">
        <f>IFERROR(HLOOKUP($F$30,$F$30:$F$35,X53+1,0),"")</f>
        <v>8500000</v>
      </c>
      <c r="R43" s="59">
        <f>IFERROR(HLOOKUP($F$30,$F$30:$F$35,Y53+1,0),"")</f>
        <v>12750000</v>
      </c>
    </row>
    <row r="44" spans="1:81" ht="18" customHeight="1" thickTop="1" thickBot="1" x14ac:dyDescent="0.45">
      <c r="B44" s="31"/>
      <c r="C44" s="37" t="s">
        <v>47</v>
      </c>
      <c r="D44" s="34"/>
      <c r="E44" s="35" t="str">
        <f>IF(AND(COUNTIF(E39:E43,"&gt;="&amp;30)&gt;=1,COUNTA(E31:E35)=5),"対象","対象外")</f>
        <v>対象</v>
      </c>
      <c r="F44" s="35" t="str">
        <f>IF(AND(COUNTIF(F39:F43,"&gt;="&amp;30)&gt;=1,COUNTA(F31:F35)=5),"対象","対象外")</f>
        <v>対象</v>
      </c>
      <c r="G44" s="36" t="str">
        <f>IF(AND(COUNTIF(G39:G43,"&gt;="&amp;30)&gt;=1,COUNTA(G31:G35)=5),"対象","対象外")</f>
        <v>対象</v>
      </c>
      <c r="H44" s="4"/>
      <c r="I44" s="4"/>
      <c r="J44" s="4"/>
      <c r="K44" s="4"/>
      <c r="M44" s="55" t="s">
        <v>40</v>
      </c>
      <c r="N44" s="56">
        <f>IFERROR(HLOOKUP($F$38,$F$38:$F$43,U53+1,0),"")</f>
        <v>17</v>
      </c>
      <c r="O44" s="56">
        <f>IFERROR(HLOOKUP($F$38,$F$38:$F$43,V53+1,0),"")</f>
        <v>37</v>
      </c>
      <c r="P44" s="56">
        <f>IFERROR(HLOOKUP($F$38,$F$38:$F$43,W53+1,0),"")</f>
        <v>50</v>
      </c>
      <c r="Q44" s="56" t="str">
        <f>IFERROR(HLOOKUP($F$38,$F$38:$F$43,X53+1,0),"")</f>
        <v/>
      </c>
      <c r="R44" s="56" t="str">
        <f>IFERROR(HLOOKUP($F$38,$F$38:$F$43,Y53+1,0),"")</f>
        <v/>
      </c>
    </row>
    <row r="45" spans="1:81" ht="18" customHeight="1" thickTop="1" x14ac:dyDescent="0.4">
      <c r="B45" s="31"/>
      <c r="C45" s="13"/>
      <c r="D45" s="4"/>
      <c r="E45" s="4"/>
      <c r="F45" s="4"/>
      <c r="G45" s="4"/>
      <c r="H45" s="4"/>
      <c r="I45" s="4"/>
      <c r="J45" s="4"/>
      <c r="K45" s="4"/>
      <c r="M45" s="55" t="s">
        <v>24</v>
      </c>
      <c r="N45" s="55" t="str">
        <f>IF(判定!$T$12=1,"法人","個人")</f>
        <v>法人</v>
      </c>
      <c r="O45" s="55" t="str">
        <f>IF(判定!$T$12=1,"法人","個人")</f>
        <v>法人</v>
      </c>
      <c r="P45" s="55" t="str">
        <f>IF(判定!$T$12=1,"法人","個人")</f>
        <v>法人</v>
      </c>
      <c r="Q45" s="55" t="str">
        <f>IF(判定!$T$12=1,"法人","個人")</f>
        <v>法人</v>
      </c>
      <c r="R45" s="55" t="str">
        <f>IF(判定!$T$12=1,"法人","個人")</f>
        <v>法人</v>
      </c>
    </row>
    <row r="46" spans="1:81" ht="18" customHeight="1" x14ac:dyDescent="0.4">
      <c r="B46" s="4"/>
      <c r="C46" s="18" t="s">
        <v>15</v>
      </c>
      <c r="D46" s="20"/>
      <c r="E46" s="20"/>
      <c r="F46" s="20"/>
      <c r="G46" s="20"/>
      <c r="H46" s="4"/>
      <c r="I46" s="4"/>
      <c r="J46" s="4"/>
      <c r="K46" s="4"/>
      <c r="M46" s="55" t="s">
        <v>25</v>
      </c>
      <c r="N46" s="55" t="str">
        <f>IF(N44&gt;=50,"50%以上",IF(N44&lt;30,"対象外","30%～50%未満"))</f>
        <v>対象外</v>
      </c>
      <c r="O46" s="55" t="str">
        <f>IF(O44&gt;=50,"50%以上",IF(O44&lt;30,"対象外","30%～50%未満"))</f>
        <v>30%～50%未満</v>
      </c>
      <c r="P46" s="55" t="str">
        <f>IF(P44&gt;=50,"50%以上",IF(P44&lt;30,"対象外","30%～50%未満"))</f>
        <v>50%以上</v>
      </c>
      <c r="Q46" s="55" t="str">
        <f>IF(Q44&gt;=50,"50%以上",IF(Q44&lt;30,"対象外","30%～50%未満"))</f>
        <v>50%以上</v>
      </c>
      <c r="R46" s="55" t="str">
        <f>IF(R44&gt;=50,"50%以上",IF(R44&lt;30,"対象外","30%～50%未満"))</f>
        <v>50%以上</v>
      </c>
    </row>
    <row r="47" spans="1:81" ht="18" customHeight="1" x14ac:dyDescent="0.4">
      <c r="B47" s="4"/>
      <c r="C47" s="4"/>
      <c r="D47" s="4"/>
      <c r="E47" s="4"/>
      <c r="F47" s="4"/>
      <c r="G47" s="4"/>
      <c r="H47" s="4"/>
      <c r="I47" s="4"/>
      <c r="J47" s="4"/>
      <c r="K47" s="4"/>
      <c r="M47" s="55" t="s">
        <v>27</v>
      </c>
      <c r="N47" s="78" t="str">
        <f>IF($T$12=2,"",IF(IFERROR(HLOOKUP(DATEVALUE(N42),$U$76:$CB$77,2,0),"")="","会計期間を入力して下さい。",IF(HLOOKUP(DATEVALUE(N42),$U$76:$CB$77,2,0)&gt;500000000,$U$14,IF(HLOOKUP(DATEVALUE(N42),$U$76:$CB$77,2,0)&lt;=100000000,$U$12,$U$13))))</f>
        <v>1億円以下</v>
      </c>
      <c r="O47" s="78" t="str">
        <f>IF($T$12=2,"",IF(IFERROR(HLOOKUP(DATEVALUE(O42),$U$76:$CB$77,2,0),"")="","会計期間を入力して下さい。",IF(HLOOKUP(DATEVALUE(O42),$U$76:$CB$77,2,0)&gt;500000000,$U$14,IF(HLOOKUP(DATEVALUE(O42),$U$76:$CB$77,2,0)&lt;=100000000,$U$12,$U$13))))</f>
        <v>1億円以下</v>
      </c>
      <c r="P47" s="78" t="str">
        <f>IF($T$12=2,"",IF(IFERROR(HLOOKUP(DATEVALUE(P42),$U$76:$CB$77,2,0),"")="","会計期間を入力して下さい。",IF(HLOOKUP(DATEVALUE(P42),$U$76:$CB$77,2,0)&gt;500000000,$U$14,IF(HLOOKUP(DATEVALUE(P42),$U$76:$CB$77,2,0)&lt;=100000000,$U$12,$U$13))))</f>
        <v>1億円以下</v>
      </c>
      <c r="Q47" s="78" t="str">
        <f>IF($T$12=2,"",IF(IFERROR(HLOOKUP(DATEVALUE(Q42),$U$76:$CB$77,2,0),"")="","会計期間を入力して下さい。",IF(HLOOKUP(DATEVALUE(Q42),$U$76:$CB$77,2,0)&gt;500000000,$U$14,IF(HLOOKUP(DATEVALUE(Q42),$U$76:$CB$77,2,0)&lt;=100000000,$U$12,$U$13))))</f>
        <v>1億円以下</v>
      </c>
      <c r="R47" s="78" t="str">
        <f>IF($T$12=2,"",IF(IFERROR(HLOOKUP(DATEVALUE(R42),$U$76:$CB$77,2,0),"")="","会計期間を入力して下さい。",IF(HLOOKUP(DATEVALUE(R42),$U$76:$CB$77,2,0)&gt;500000000,$U$14,IF(HLOOKUP(DATEVALUE(R42),$U$76:$CB$77,2,0)&lt;=100000000,$U$12,$U$13))))</f>
        <v>1億円以下</v>
      </c>
      <c r="S47" s="17"/>
    </row>
    <row r="48" spans="1:81" ht="18" customHeight="1" x14ac:dyDescent="0.4">
      <c r="B48" s="4"/>
      <c r="C48" s="5" t="s">
        <v>16</v>
      </c>
      <c r="D48" s="4"/>
      <c r="E48" s="4"/>
      <c r="F48" s="4"/>
      <c r="G48" s="4"/>
      <c r="H48" s="4"/>
      <c r="I48" s="4"/>
      <c r="J48" s="4"/>
      <c r="K48" s="4"/>
      <c r="M48" s="55" t="s">
        <v>43</v>
      </c>
      <c r="N48" s="60" t="str">
        <f>IF(N44="","対象外",IF(N45="個人",IF(N46=$U$17,$V$17,IF(N46=$U$18,$V$18,"対象外")),IF(N46="対象外","対象外",IF(N47=$T$19,IF(N46=$U$19,$V$19,$V$20),IF(N47=$T$21,IF(N46=$U$21,$V$21,$V$22),IF(N47=$T$23,IF(N46=$U$23,$V$23,$V$24)))))))</f>
        <v>対象外</v>
      </c>
      <c r="O48" s="60">
        <f>IF(O44="","対象外",IF(O45="個人",IF(O46=$U$17,$V$17,IF(O46=$U$18,$V$18,"対象外")),IF(O46="対象外","対象外",IF(O47=$T$19,IF(O46=$U$19,$V$19,$V$20),IF(O47=$T$21,IF(O46=$U$21,$V$21,$V$22),IF(O47=$T$23,IF(O46=$U$23,$V$23,$V$24)))))))</f>
        <v>600000</v>
      </c>
      <c r="P48" s="60">
        <f>IF(P44="","対象外",IF(P45="個人",IF(P46=$U$17,$V$17,IF(P46=$U$18,$V$18,"対象外")),IF(P46="対象外","対象外",IF(P47=$T$19,IF(P46=$U$19,$V$19,$V$20),IF(P47=$T$21,IF(P46=$U$21,$V$21,$V$22),IF(P47=$T$23,IF(P46=$U$23,$V$23,$V$24)))))))</f>
        <v>1000000</v>
      </c>
      <c r="Q48" s="60" t="str">
        <f>IF(Q44="","対象外",IF(Q45="個人",IF(Q46=$U$17,$V$17,IF(Q46=$U$18,$V$18,"対象外")),IF(Q46="対象外","対象外",IF(Q47=$T$19,IF(Q46=$U$19,$V$19,$V$20),IF(Q47=$T$21,IF(Q46=$U$21,$V$21,$V$22),IF(Q47=$T$23,IF(Q46=$U$23,$V$23,$V$24)))))))</f>
        <v>対象外</v>
      </c>
      <c r="R48" s="60" t="str">
        <f>IF(R44="","対象外",IF(R45="個人",IF(R46=$U$17,$V$17,IF(R46=$U$18,$V$18,"対象外")),IF(R46="対象外","対象外",IF(R47=$T$19,IF(R46=$U$19,$V$19,$V$20),IF(R47=$T$21,IF(R46=$U$21,$V$21,$V$22),IF(R47=$T$23,IF(R46=$U$23,$V$23,$V$24)))))))</f>
        <v>対象外</v>
      </c>
      <c r="S48" s="17"/>
      <c r="T48" s="113" t="s">
        <v>60</v>
      </c>
      <c r="U48" s="113"/>
      <c r="V48" s="113"/>
      <c r="W48" s="113"/>
      <c r="X48" s="113"/>
      <c r="Y48" s="113"/>
      <c r="Z48" s="113"/>
    </row>
    <row r="49" spans="2:81" ht="18" customHeight="1" x14ac:dyDescent="0.4">
      <c r="B49" s="4"/>
      <c r="C49" s="5" t="s">
        <v>17</v>
      </c>
      <c r="D49" s="4"/>
      <c r="E49" s="4"/>
      <c r="F49" s="4"/>
      <c r="G49" s="4"/>
      <c r="H49" s="4"/>
      <c r="I49" s="4"/>
      <c r="J49" s="4"/>
      <c r="K49" s="4"/>
      <c r="U49" s="17">
        <f>IF($F$44="対象",$F$36,"")</f>
        <v>51950000</v>
      </c>
      <c r="V49" s="17">
        <f>IF($F$44="対象",$F$36,"")</f>
        <v>51950000</v>
      </c>
      <c r="W49" s="17">
        <f>IF($F$44="対象",$F$36,"")</f>
        <v>51950000</v>
      </c>
      <c r="X49" s="17">
        <f>IF($F$44="対象",$F$36,"")</f>
        <v>51950000</v>
      </c>
      <c r="Y49" s="17">
        <f>IF($F$44="対象",$F$36,"")</f>
        <v>51950000</v>
      </c>
    </row>
    <row r="50" spans="2:81" ht="18" customHeight="1" thickBot="1" x14ac:dyDescent="0.45">
      <c r="B50" s="4"/>
      <c r="C50" s="4"/>
      <c r="D50" s="4"/>
      <c r="E50" s="4"/>
      <c r="F50" s="4"/>
      <c r="G50" s="4"/>
      <c r="H50" s="4"/>
      <c r="I50" s="4"/>
      <c r="J50" s="4"/>
      <c r="K50" s="4"/>
      <c r="T50" s="1" t="s">
        <v>38</v>
      </c>
      <c r="U50" s="38">
        <f>IFERROR(HLOOKUP($D$30,$D$30:$D$35,U53+1,0),"")</f>
        <v>9500000</v>
      </c>
      <c r="V50" s="38">
        <f>IFERROR(HLOOKUP($D$30,$D$30:$D$35,V53+1,0),"")</f>
        <v>5000000</v>
      </c>
      <c r="W50" s="38">
        <f>IFERROR(HLOOKUP($D$30,$D$30:$D$35,W53+1,0),"")</f>
        <v>5500000</v>
      </c>
      <c r="X50" s="38">
        <f>IFERROR(HLOOKUP($D$30,$D$30:$D$35,X53+1,0),"")</f>
        <v>0</v>
      </c>
      <c r="Y50" s="38">
        <f>IFERROR(HLOOKUP($D$30,$D$30:$D$35,Y53+1,0),"")</f>
        <v>0</v>
      </c>
      <c r="Z50" s="1">
        <f>IF(F28="入力",COUNTIF(U52:Y52,"対象外"),0)</f>
        <v>1</v>
      </c>
    </row>
    <row r="51" spans="2:81" ht="18" customHeight="1" thickTop="1" thickBot="1" x14ac:dyDescent="0.45">
      <c r="B51" s="4"/>
      <c r="C51" s="10" t="s">
        <v>18</v>
      </c>
      <c r="D51" s="11"/>
      <c r="E51" s="12"/>
      <c r="F51" s="15"/>
      <c r="G51" s="4"/>
      <c r="H51" s="4"/>
      <c r="I51" s="4"/>
      <c r="J51" s="4"/>
      <c r="K51" s="4"/>
      <c r="M51" s="123" t="s">
        <v>62</v>
      </c>
      <c r="N51" s="123"/>
      <c r="O51" s="123"/>
      <c r="P51" s="123"/>
      <c r="Q51" s="123"/>
      <c r="R51" s="123"/>
      <c r="T51" s="1" t="s">
        <v>49</v>
      </c>
      <c r="U51" s="1" t="str">
        <f>IF(F28="入力不要","",IF(COUNTA(F31:F35)=5,"","2019年-2020年が未入力の月があります。"))</f>
        <v/>
      </c>
      <c r="V51" s="49"/>
      <c r="W51" s="49"/>
      <c r="X51" s="49"/>
      <c r="Y51" s="49"/>
    </row>
    <row r="52" spans="2:81" ht="18" customHeight="1" thickTop="1" x14ac:dyDescent="0.4">
      <c r="B52" s="4"/>
      <c r="C52" s="13" t="s">
        <v>20</v>
      </c>
      <c r="D52" s="4"/>
      <c r="E52" s="4"/>
      <c r="F52" s="4"/>
      <c r="G52" s="4"/>
      <c r="H52" s="4"/>
      <c r="I52" s="4"/>
      <c r="J52" s="4"/>
      <c r="K52" s="4"/>
      <c r="M52" s="53"/>
      <c r="N52" s="53" t="s">
        <v>33</v>
      </c>
      <c r="O52" s="53" t="s">
        <v>34</v>
      </c>
      <c r="P52" s="53" t="s">
        <v>35</v>
      </c>
      <c r="Q52" s="53" t="s">
        <v>36</v>
      </c>
      <c r="R52" s="53" t="s">
        <v>37</v>
      </c>
      <c r="T52" s="1" t="s">
        <v>40</v>
      </c>
      <c r="U52" s="32" t="str">
        <f>IF(COUNTA(F31)=1,IF(F39&gt;=30,F39,"対象外"),"未入力")</f>
        <v>対象外</v>
      </c>
      <c r="V52" s="32">
        <f>IF(COUNTA(F32)=1,IF(F40&gt;=30,F40,"対象外"),"未入力")</f>
        <v>37</v>
      </c>
      <c r="W52" s="32">
        <f>IF(COUNTA(F33)=1,IF(F41&gt;=30,F41,"対象外"),"未入力")</f>
        <v>50</v>
      </c>
      <c r="X52" s="32" t="str">
        <f>IF(COUNTA(F34)=1,IF(F42&gt;=30,F42,"対象外"),"未入力")</f>
        <v/>
      </c>
      <c r="Y52" s="32" t="str">
        <f>IF(COUNTA(F35)=1,IF(F43&gt;=30,F43,"対象外"),"未入力")</f>
        <v/>
      </c>
    </row>
    <row r="53" spans="2:81" ht="18" customHeight="1" thickBot="1" x14ac:dyDescent="0.45">
      <c r="B53" s="4"/>
      <c r="C53" s="13" t="s">
        <v>21</v>
      </c>
      <c r="D53" s="4"/>
      <c r="E53" s="4"/>
      <c r="F53" s="4"/>
      <c r="G53" s="4"/>
      <c r="H53" s="4"/>
      <c r="I53" s="4"/>
      <c r="J53" s="4"/>
      <c r="K53" s="4"/>
      <c r="M53" s="1" t="s">
        <v>50</v>
      </c>
      <c r="N53" s="33" t="str">
        <f>IF(COUNTIF($G$39,"&gt;="&amp;30)&gt;=1,"対象","対象外")</f>
        <v>対象外</v>
      </c>
      <c r="O53" s="33" t="str">
        <f>IF(COUNTIF($G$40,"&gt;="&amp;30)&gt;=1,"対象","対象外")</f>
        <v>対象外</v>
      </c>
      <c r="P53" s="33" t="str">
        <f>IF(COUNTIF($G$41,"&gt;="&amp;30)&gt;=1,"対象","対象外")</f>
        <v>対象</v>
      </c>
      <c r="Q53" s="33" t="str">
        <f>IF(COUNTIF($G$42,"&gt;="&amp;30)&gt;=1,"対象","対象外")</f>
        <v>対象外</v>
      </c>
      <c r="R53" s="33" t="str">
        <f>IF(COUNTIF($G$43,"&gt;="&amp;30)&gt;=1,"対象","対象外")</f>
        <v>対象外</v>
      </c>
      <c r="T53" s="1" t="s">
        <v>44</v>
      </c>
      <c r="U53" s="1">
        <v>1</v>
      </c>
      <c r="V53" s="1">
        <v>2</v>
      </c>
      <c r="W53" s="1">
        <v>3</v>
      </c>
      <c r="X53" s="1">
        <v>4</v>
      </c>
      <c r="Y53" s="1">
        <v>5</v>
      </c>
    </row>
    <row r="54" spans="2:81" ht="18" customHeight="1" thickTop="1" thickBot="1" x14ac:dyDescent="0.45">
      <c r="B54" s="4"/>
      <c r="C54" s="13" t="s">
        <v>19</v>
      </c>
      <c r="D54" s="4"/>
      <c r="E54" s="4"/>
      <c r="F54" s="4"/>
      <c r="G54" s="4"/>
      <c r="H54" s="4"/>
      <c r="I54" s="4"/>
      <c r="J54" s="4"/>
      <c r="K54" s="4"/>
      <c r="M54" s="58" t="s">
        <v>14</v>
      </c>
      <c r="N54" s="61">
        <f>IFERROR(IF(N63="対象外",0,IF(U68-U69*5&lt;0,"＊＊＊＊＊",IF(N63&lt;=U68-U69*5,N63,U68-U69*5))),"")</f>
        <v>0</v>
      </c>
      <c r="O54" s="61">
        <f>IFERROR(IF(O63="対象外",0,IF(V68-V69*5&lt;0,"＊＊＊＊＊",IF(O63&lt;=V68-V69*5,O63,V68-V69*5))),"")</f>
        <v>0</v>
      </c>
      <c r="P54" s="61">
        <f>IFERROR(IF(P63="対象外",0,IF(W68-W69*5&lt;0,"＊＊＊＊＊",IF(P63&lt;=W68-W69*5,P63,W68-W69*5))),"")</f>
        <v>600000</v>
      </c>
      <c r="Q54" s="61">
        <f>IFERROR(IF(Q63="対象外",0,IF(X68-X69*5&lt;0,"＊＊＊＊＊",IF(Q63&lt;=X68-X69*5,Q63,X68-X69*5))),"")</f>
        <v>0</v>
      </c>
      <c r="R54" s="62">
        <f>IFERROR(IF(R63="対象外",0,IF(Y68-Y69*5&lt;0,"＊＊＊＊＊",IF(R63&lt;=Y68-Y69*5,R63,Y68-Y69*5))),"")</f>
        <v>0</v>
      </c>
      <c r="CC54" s="1" t="s">
        <v>66</v>
      </c>
    </row>
    <row r="55" spans="2:81" ht="18" customHeight="1" thickTop="1" x14ac:dyDescent="0.4">
      <c r="B55" s="4"/>
      <c r="C55" s="13"/>
      <c r="D55" s="4"/>
      <c r="E55" s="42" t="str">
        <f>IF(MAX($E$57:$G$57)=E$57,"最適","")</f>
        <v>最適</v>
      </c>
      <c r="F55" s="42" t="str">
        <f>IF(MAX($E$57:$G$57)=F$57,"最適","")</f>
        <v>最適</v>
      </c>
      <c r="G55" s="42" t="str">
        <f>IF(MAX($E$57:$G$57)=G$57,"最適","")</f>
        <v/>
      </c>
      <c r="H55" s="4"/>
      <c r="I55" s="4"/>
      <c r="J55" s="4"/>
      <c r="K55" s="4"/>
      <c r="M55" s="57" t="s">
        <v>3</v>
      </c>
      <c r="N55" s="57" t="str">
        <f>IFERROR(IF(OR(HLOOKUP("売上高",$C$29:$C$35,U72+2,0)="11月",HLOOKUP("売上高",$C$29:$C$35,U72+2,0)="12月"),"2021年"&amp;HLOOKUP("売上高",$C$29:$C$35,U72+2,0),"2022年"&amp;HLOOKUP("売上高",$C$29:$C$35,U72+2,0)),"")</f>
        <v>2021年11月</v>
      </c>
      <c r="O55" s="57" t="str">
        <f>IFERROR(IF(OR(HLOOKUP("売上高",$C$29:$C$35,V72+2,0)="11月",HLOOKUP("売上高",$C$29:$C$35,V72+2,0)="12月"),"2021年"&amp;HLOOKUP("売上高",$C$29:$C$35,V72+2,0),"2022年"&amp;HLOOKUP("売上高",$C$29:$C$35,V72+2,0)),"")</f>
        <v>2021年12月</v>
      </c>
      <c r="P55" s="57" t="str">
        <f>IFERROR(IF(OR(HLOOKUP("売上高",$C$29:$C$35,W72+2,0)="11月",HLOOKUP("売上高",$C$29:$C$35,W72+2,0)="12月"),"2021年"&amp;HLOOKUP("売上高",$C$29:$C$35,W72+2,0),"2022年"&amp;HLOOKUP("売上高",$C$29:$C$35,W72+2,0)),"")</f>
        <v>2022年1月</v>
      </c>
      <c r="Q55" s="57" t="str">
        <f>IFERROR(IF(OR(HLOOKUP("売上高",$C$29:$C$35,X72+2,0)="11月",HLOOKUP("売上高",$C$29:$C$35,X72+2,0)="12月"),"2021年"&amp;HLOOKUP("売上高",$C$29:$C$35,X72+2,0),"2022年"&amp;HLOOKUP("売上高",$C$29:$C$35,X72+2,0)),"")</f>
        <v>2022年2月</v>
      </c>
      <c r="R55" s="57" t="str">
        <f>IFERROR(IF(OR(HLOOKUP("売上高",$C$29:$C$35,Y72+2,0)="11月",HLOOKUP("売上高",$C$29:$C$35,Y72+2,0)="12月"),"2021年"&amp;HLOOKUP("売上高",$C$29:$C$35,Y72+2,0),"2022年"&amp;HLOOKUP("売上高",$C$29:$C$35,Y72+2,0)),"")</f>
        <v>2022年3月</v>
      </c>
    </row>
    <row r="56" spans="2:81" ht="18.75" customHeight="1" x14ac:dyDescent="0.4">
      <c r="B56" s="4"/>
      <c r="C56" s="26" t="s">
        <v>41</v>
      </c>
      <c r="D56" s="26" t="str">
        <f>D30</f>
        <v>2021年-2022年</v>
      </c>
      <c r="E56" s="26" t="str">
        <f>E30</f>
        <v>2020年-2021年</v>
      </c>
      <c r="F56" s="26" t="str">
        <f>F30</f>
        <v>2019年-2020年</v>
      </c>
      <c r="G56" s="26" t="str">
        <f>G30</f>
        <v>2018年-2019年</v>
      </c>
      <c r="H56" s="4"/>
      <c r="I56" s="4"/>
      <c r="J56" s="4"/>
      <c r="K56" s="4"/>
      <c r="M56" s="55" t="s">
        <v>42</v>
      </c>
      <c r="N56" s="59">
        <f>IFERROR(HLOOKUP($D$30,$D$30:$D$35,U72+1,0),"")</f>
        <v>9500000</v>
      </c>
      <c r="O56" s="59">
        <f>IFERROR(HLOOKUP($D$30,$D$30:$D$35,V72+1,0),"")</f>
        <v>5000000</v>
      </c>
      <c r="P56" s="59">
        <f>IFERROR(HLOOKUP($D$30,$D$30:$D$35,W72+1,0),"")</f>
        <v>5500000</v>
      </c>
      <c r="Q56" s="59">
        <f>IFERROR(HLOOKUP($D$30,$D$30:$D$35,X72+1,0),"")</f>
        <v>0</v>
      </c>
      <c r="R56" s="59">
        <f>IFERROR(HLOOKUP($D$30,$D$30:$D$35,Y72+1,0),"")</f>
        <v>0</v>
      </c>
    </row>
    <row r="57" spans="2:81" ht="18.75" customHeight="1" x14ac:dyDescent="0.4">
      <c r="B57" s="4"/>
      <c r="C57" s="27" t="s">
        <v>53</v>
      </c>
      <c r="D57" s="92"/>
      <c r="E57" s="50">
        <f>IF(COUNTA(E31:E35)=5,IF(MAX(N24:R24)&gt;0,MAX(N24:R24),IF(COUNTIF($N$24:$R$24,"*****")&gt;=1,"マイナスのため計算不可","")),"")</f>
        <v>1000000</v>
      </c>
      <c r="F57" s="50">
        <f>IF(COUNTA(F31:F35)=5,IF(MAX(N39:R39)&gt;0,MAX(N39:R39),IF(COUNTIF($N$39:$R$39,"*****")&gt;=1,"マイナスのため計算不可","")),"")</f>
        <v>1000000</v>
      </c>
      <c r="G57" s="50">
        <f>IF(COUNTA(G31:G35)=5,IF(MAX(N54:R54)&gt;0,MAX(N54:R54),IF(COUNTIF($N$54:$R$54,"*****")&gt;=1,"マイナスのため計算不可","")),"")</f>
        <v>600000</v>
      </c>
      <c r="H57" s="124" t="str">
        <f>IF(COUNTA(D31:D35)=5,"",IF(X10="","",X10&amp;CHAR(10))&amp;IF(X11="","",X11&amp;CHAR(10))&amp;IF(X12="","",X12&amp;CHAR(10))&amp;IF(X13="","",X13&amp;CHAR(10))&amp;IF(X14="","",X14))</f>
        <v>対象月2022年2月が未入力のため判定されません。
対象月2022年3月が未入力のため判定されません。</v>
      </c>
      <c r="I57" s="125"/>
      <c r="J57" s="125"/>
      <c r="K57" s="125"/>
      <c r="M57" s="55" t="s">
        <v>2</v>
      </c>
      <c r="N57" s="55" t="str">
        <f>IFERROR(IF(OR(HLOOKUP("売上高",$C$29:$C$35,U72+2,0)="11月",HLOOKUP("売上高",$C$29:$C$35,U72+2,0)="12月"),"2018年"&amp;HLOOKUP("売上高",$C$29:$C$35,U72+2,0),"2019年"&amp;HLOOKUP("売上高",$C$29:$C$35,U72+2,0)),"")</f>
        <v>2018年11月</v>
      </c>
      <c r="O57" s="55" t="str">
        <f>IFERROR(IF(OR(HLOOKUP("売上高",$C$29:$C$35,V72+2,0)="11月",HLOOKUP("売上高",$C$29:$C$35,V72+2,0)="12月"),"2018年"&amp;HLOOKUP("売上高",$C$29:$C$35,V72+2,0),"2019年"&amp;HLOOKUP("売上高",$C$29:$C$35,V72+2,0)),"")</f>
        <v>2018年12月</v>
      </c>
      <c r="P57" s="55" t="str">
        <f>IFERROR(IF(OR(HLOOKUP("売上高",$C$29:$C$35,W72+2,0)="11月",HLOOKUP("売上高",$C$29:$C$35,W72+2,0)="12月"),"2018年"&amp;HLOOKUP("売上高",$C$29:$C$35,W72+2,0),"2019年"&amp;HLOOKUP("売上高",$C$29:$C$35,W72+2,0)),"")</f>
        <v>2019年1月</v>
      </c>
      <c r="Q57" s="55" t="str">
        <f>IFERROR(IF(OR(HLOOKUP("売上高",$C$29:$C$35,X72+2,0)="11月",HLOOKUP("売上高",$C$29:$C$35,X72+2,0)="12月"),"2018年"&amp;HLOOKUP("売上高",$C$29:$C$35,X72+2,0),"2019年"&amp;HLOOKUP("売上高",$C$29:$C$35,X72+2,0)),"")</f>
        <v>2019年2月</v>
      </c>
      <c r="R57" s="55" t="str">
        <f>IFERROR(IF(OR(HLOOKUP("売上高",$C$29:$C$35,Y72+2,0)="11月",HLOOKUP("売上高",$C$29:$C$35,Y72+2,0)="12月"),"2018年"&amp;HLOOKUP("売上高",$C$29:$C$35,Y72+2,0),"2019年"&amp;HLOOKUP("売上高",$C$29:$C$35,Y72+2,0)),"")</f>
        <v>2019年3月</v>
      </c>
    </row>
    <row r="58" spans="2:81" ht="18.75" customHeight="1" x14ac:dyDescent="0.4">
      <c r="B58" s="4"/>
      <c r="C58" s="110" t="s">
        <v>114</v>
      </c>
      <c r="D58" s="93"/>
      <c r="E58" s="43" t="str">
        <f>IFERROR(IF(E57="","","2020年11月～2021年3月"),"err")</f>
        <v>2020年11月～2021年3月</v>
      </c>
      <c r="F58" s="43" t="str">
        <f>IFERROR(IF(F57="","","2019年11月～2020年3月"),"err")</f>
        <v>2019年11月～2020年3月</v>
      </c>
      <c r="G58" s="43" t="str">
        <f>IFERROR(IF(G57="","","2018年11月～2019年3月"),"err")</f>
        <v>2018年11月～2019年3月</v>
      </c>
      <c r="H58" s="124"/>
      <c r="I58" s="125"/>
      <c r="J58" s="125"/>
      <c r="K58" s="125"/>
      <c r="M58" s="55" t="s">
        <v>42</v>
      </c>
      <c r="N58" s="59">
        <f>IFERROR(HLOOKUP($G$30,$G30:$G35,U72+1,0),"")</f>
        <v>11850000</v>
      </c>
      <c r="O58" s="59">
        <f>IFERROR(HLOOKUP($G$30,$G30:$G35,V72+1,0),"")</f>
        <v>5600000</v>
      </c>
      <c r="P58" s="59">
        <f>IFERROR(HLOOKUP($G$30,$G30:$G35,W72+1,0),"")</f>
        <v>8600000</v>
      </c>
      <c r="Q58" s="59">
        <f>IFERROR(HLOOKUP($G$30,$G30:$G35,X72+1,0),"")</f>
        <v>7600000</v>
      </c>
      <c r="R58" s="59">
        <f>IFERROR(HLOOKUP($G$30,$G30:$G35,Y72+1,0),"")</f>
        <v>12750000</v>
      </c>
    </row>
    <row r="59" spans="2:81" ht="18.75" customHeight="1" x14ac:dyDescent="0.4">
      <c r="B59" s="4"/>
      <c r="C59" s="110" t="s">
        <v>3</v>
      </c>
      <c r="D59" s="92"/>
      <c r="E59" s="109" t="str">
        <f>IFERROR(IF(E57="","",HLOOKUP(E$57,$N$24:$R$29,2,0)),"err")</f>
        <v>2022年1月</v>
      </c>
      <c r="F59" s="109" t="str">
        <f>IFERROR(IF(F57="","",HLOOKUP(F$57,$N$39:$R$44,2,0)),"err")</f>
        <v>2022年1月</v>
      </c>
      <c r="G59" s="109" t="str">
        <f>IFERROR(IF(G57="","",HLOOKUP(G$57,$N$54:$R$59,2,0)),"err")</f>
        <v>2022年1月</v>
      </c>
      <c r="H59" s="124"/>
      <c r="I59" s="125"/>
      <c r="J59" s="125"/>
      <c r="K59" s="125"/>
      <c r="M59" s="55" t="s">
        <v>40</v>
      </c>
      <c r="N59" s="56">
        <f>IFERROR(HLOOKUP($G$38,$G$38:$G$43,U72+1,0),"")</f>
        <v>19</v>
      </c>
      <c r="O59" s="56">
        <f>IFERROR(HLOOKUP($G$38,$G$38:$G$43,V72+1,0),"")</f>
        <v>10</v>
      </c>
      <c r="P59" s="56">
        <f>IFERROR(HLOOKUP($G$38,$G$38:$G$43,W72+1,0),"")</f>
        <v>36</v>
      </c>
      <c r="Q59" s="56" t="str">
        <f>IFERROR(HLOOKUP($G$38,$G$38:$G$43,X72+1,0),"")</f>
        <v/>
      </c>
      <c r="R59" s="56" t="str">
        <f>IFERROR(HLOOKUP($G$38,$G$38:$G$43,Y72+1,0),"")</f>
        <v/>
      </c>
    </row>
    <row r="60" spans="2:81" ht="18.75" customHeight="1" x14ac:dyDescent="0.4">
      <c r="B60" s="4"/>
      <c r="C60" s="110" t="str">
        <f>"基準期間"&amp;C31&amp;"の事業収入"</f>
        <v>基準期間11月の事業収入</v>
      </c>
      <c r="D60" s="93"/>
      <c r="E60" s="44">
        <f t="shared" ref="E60:G64" si="1">IF(OR(E$44="対象外",E$44=""),"",IF(E$57="マイナスのため計算不可","err",E31))</f>
        <v>12650000</v>
      </c>
      <c r="F60" s="44">
        <f t="shared" si="1"/>
        <v>11500000</v>
      </c>
      <c r="G60" s="44">
        <f t="shared" si="1"/>
        <v>11850000</v>
      </c>
      <c r="H60" s="124"/>
      <c r="I60" s="125"/>
      <c r="J60" s="125"/>
      <c r="K60" s="125"/>
      <c r="M60" s="55" t="s">
        <v>24</v>
      </c>
      <c r="N60" s="55" t="str">
        <f>IF(判定!$T$12=1,"法人","個人")</f>
        <v>法人</v>
      </c>
      <c r="O60" s="55" t="str">
        <f>IF(判定!$T$12=1,"法人","個人")</f>
        <v>法人</v>
      </c>
      <c r="P60" s="55" t="str">
        <f>IF(判定!$T$12=1,"法人","個人")</f>
        <v>法人</v>
      </c>
      <c r="Q60" s="55" t="str">
        <f>IF(判定!$T$12=1,"法人","個人")</f>
        <v>法人</v>
      </c>
      <c r="R60" s="55" t="str">
        <f>IF(判定!$T$12=1,"法人","個人")</f>
        <v>法人</v>
      </c>
    </row>
    <row r="61" spans="2:81" ht="18.75" customHeight="1" x14ac:dyDescent="0.4">
      <c r="B61" s="4"/>
      <c r="C61" s="110" t="str">
        <f>"基準期間"&amp;C32&amp;"の事業収入"</f>
        <v>基準期間12月の事業収入</v>
      </c>
      <c r="D61" s="93"/>
      <c r="E61" s="44">
        <f t="shared" si="1"/>
        <v>5900000</v>
      </c>
      <c r="F61" s="44">
        <f t="shared" si="1"/>
        <v>8000000</v>
      </c>
      <c r="G61" s="44">
        <f t="shared" si="1"/>
        <v>5600000</v>
      </c>
      <c r="H61" s="124"/>
      <c r="I61" s="125"/>
      <c r="J61" s="125"/>
      <c r="K61" s="125"/>
      <c r="M61" s="55" t="s">
        <v>25</v>
      </c>
      <c r="N61" s="55" t="str">
        <f>IF(N59&gt;=50,"50%以上",IF(N59&lt;30,"対象外","30%～50%未満"))</f>
        <v>対象外</v>
      </c>
      <c r="O61" s="55" t="str">
        <f>IF(O59&gt;=50,"50%以上",IF(O59&lt;30,"対象外","30%～50%未満"))</f>
        <v>対象外</v>
      </c>
      <c r="P61" s="55" t="str">
        <f>IF(P59&gt;=50,"50%以上",IF(P59&lt;30,"対象外","30%～50%未満"))</f>
        <v>30%～50%未満</v>
      </c>
      <c r="Q61" s="55" t="str">
        <f>IF(Q59&gt;=50,"50%以上",IF(Q59&lt;30,"対象外","30%～50%未満"))</f>
        <v>50%以上</v>
      </c>
      <c r="R61" s="55" t="str">
        <f>IF(R59&gt;=50,"50%以上",IF(R59&lt;30,"対象外","30%～50%未満"))</f>
        <v>50%以上</v>
      </c>
    </row>
    <row r="62" spans="2:81" ht="18.75" customHeight="1" x14ac:dyDescent="0.4">
      <c r="B62" s="4"/>
      <c r="C62" s="110" t="str">
        <f>"基準期間"&amp;C33&amp;"の事業収入"</f>
        <v>基準期間1月の事業収入</v>
      </c>
      <c r="D62" s="93"/>
      <c r="E62" s="44">
        <f t="shared" si="1"/>
        <v>11500000</v>
      </c>
      <c r="F62" s="44">
        <f t="shared" si="1"/>
        <v>11200000</v>
      </c>
      <c r="G62" s="44">
        <f t="shared" si="1"/>
        <v>8600000</v>
      </c>
      <c r="H62" s="124"/>
      <c r="I62" s="125"/>
      <c r="J62" s="125"/>
      <c r="K62" s="125"/>
      <c r="M62" s="55" t="s">
        <v>27</v>
      </c>
      <c r="N62" s="78" t="str">
        <f>IF($T$12=2,"",IF(IFERROR(HLOOKUP(DATEVALUE(N57),$U$76:$CB$77,2,0),"")="","会計期間を入力して下さい。",IF(HLOOKUP(DATEVALUE(N57),$U$76:$CB$77,2,0)&gt;500000000,$U$14,IF(HLOOKUP(DATEVALUE(N57),$U$76:$CB$77,2,0)&lt;=100000000,$U$12,$U$13))))</f>
        <v>1億円以下</v>
      </c>
      <c r="O62" s="78" t="str">
        <f>IF($T$12=2,"",IF(IFERROR(HLOOKUP(DATEVALUE(O57),$U$76:$CB$77,2,0),"")="","会計期間を入力して下さい。",IF(HLOOKUP(DATEVALUE(O57),$U$76:$CB$77,2,0)&gt;500000000,$U$14,IF(HLOOKUP(DATEVALUE(O57),$U$76:$CB$77,2,0)&lt;=100000000,$U$12,$U$13))))</f>
        <v>1億円以下</v>
      </c>
      <c r="P62" s="78" t="str">
        <f>IF($T$12=2,"",IF(IFERROR(HLOOKUP(DATEVALUE(P57),$U$76:$CB$77,2,0),"")="","会計期間を入力して下さい。",IF(HLOOKUP(DATEVALUE(P57),$U$76:$CB$77,2,0)&gt;500000000,$U$14,IF(HLOOKUP(DATEVALUE(P57),$U$76:$CB$77,2,0)&lt;=100000000,$U$12,$U$13))))</f>
        <v>1億円以下</v>
      </c>
      <c r="Q62" s="78" t="str">
        <f>IF($T$12=2,"",IF(IFERROR(HLOOKUP(DATEVALUE(Q57),$U$76:$CB$77,2,0),"")="","会計期間を入力して下さい。",IF(HLOOKUP(DATEVALUE(Q57),$U$76:$CB$77,2,0)&gt;500000000,$U$14,IF(HLOOKUP(DATEVALUE(Q57),$U$76:$CB$77,2,0)&lt;=100000000,$U$12,$U$13))))</f>
        <v>1億円以下</v>
      </c>
      <c r="R62" s="78" t="str">
        <f>IF($T$12=2,"",IF(IFERROR(HLOOKUP(DATEVALUE(R57),$U$76:$CB$77,2,0),"")="","会計期間を入力して下さい。",IF(HLOOKUP(DATEVALUE(R57),$U$76:$CB$77,2,0)&gt;500000000,$U$14,IF(HLOOKUP(DATEVALUE(R57),$U$76:$CB$77,2,0)&lt;=100000000,$U$12,$U$13))))</f>
        <v>1億円以下</v>
      </c>
    </row>
    <row r="63" spans="2:81" ht="18.75" customHeight="1" x14ac:dyDescent="0.4">
      <c r="B63" s="4"/>
      <c r="C63" s="110" t="str">
        <f>"基準期間"&amp;C34&amp;"の事業収入"</f>
        <v>基準期間2月の事業収入</v>
      </c>
      <c r="D63" s="93"/>
      <c r="E63" s="44">
        <f t="shared" si="1"/>
        <v>8500000</v>
      </c>
      <c r="F63" s="44">
        <f t="shared" si="1"/>
        <v>8500000</v>
      </c>
      <c r="G63" s="44">
        <f t="shared" si="1"/>
        <v>7600000</v>
      </c>
      <c r="H63" s="124"/>
      <c r="I63" s="125"/>
      <c r="J63" s="125"/>
      <c r="K63" s="125"/>
      <c r="M63" s="55" t="s">
        <v>43</v>
      </c>
      <c r="N63" s="60" t="str">
        <f>IF(N59="","対象外",IF(N60="個人",IF(N61=$U$17,$V$17,IF(N61=$U$18,$V$18,"対象外")),IF(N61="対象外","対象外",IF(N62=$T$19,IF(N61=$U$19,$V$19,$V$20),IF(N62=$T$21,IF(N61=$U$21,$V$21,$V$22),IF(N62=$T$23,IF(N61=$U$23,$V$23,$V$24)))))))</f>
        <v>対象外</v>
      </c>
      <c r="O63" s="60" t="str">
        <f>IF(O59="","対象外",IF(O60="個人",IF(O61=$U$17,$V$17,IF(O61=$U$18,$V$18,"対象外")),IF(O61="対象外","対象外",IF(O62=$T$19,IF(O61=$U$19,$V$19,$V$20),IF(O62=$T$21,IF(O61=$U$21,$V$21,$V$22),IF(O62=$T$23,IF(O61=$U$23,$V$23,$V$24)))))))</f>
        <v>対象外</v>
      </c>
      <c r="P63" s="60">
        <f>IF(P59="","対象外",IF(P60="個人",IF(P61=$U$17,$V$17,IF(P61=$U$18,$V$18,"対象外")),IF(P61="対象外","対象外",IF(P62=$T$19,IF(P61=$U$19,$V$19,$V$20),IF(P62=$T$21,IF(P61=$U$21,$V$21,$V$22),IF(P62=$T$23,IF(P61=$U$23,$V$23,$V$24)))))))</f>
        <v>600000</v>
      </c>
      <c r="Q63" s="60" t="str">
        <f>IF(Q59="","対象外",IF(Q60="個人",IF(Q61=$U$17,$V$17,IF(Q61=$U$18,$V$18,"対象外")),IF(Q61="対象外","対象外",IF(Q62=$T$19,IF(Q61=$U$19,$V$19,$V$20),IF(Q62=$T$21,IF(Q61=$U$21,$V$21,$V$22),IF(Q62=$T$23,IF(Q61=$U$23,$V$23,$V$24)))))))</f>
        <v>対象外</v>
      </c>
      <c r="R63" s="60" t="str">
        <f>IF(R59="","対象外",IF(R60="個人",IF(R61=$U$17,$V$17,IF(R61=$U$18,$V$18,"対象外")),IF(R61="対象外","対象外",IF(R62=$T$19,IF(R61=$U$19,$V$19,$V$20),IF(R62=$T$21,IF(R61=$U$21,$V$21,$V$22),IF(R62=$T$23,IF(R61=$U$23,$V$23,$V$24)))))))</f>
        <v>対象外</v>
      </c>
    </row>
    <row r="64" spans="2:81" ht="18.75" customHeight="1" x14ac:dyDescent="0.4">
      <c r="B64" s="31"/>
      <c r="C64" s="110" t="str">
        <f>"基準期間"&amp;C35&amp;"の事業収入"</f>
        <v>基準期間3月の事業収入</v>
      </c>
      <c r="D64" s="93"/>
      <c r="E64" s="44">
        <f t="shared" si="1"/>
        <v>10750000</v>
      </c>
      <c r="F64" s="44">
        <f t="shared" si="1"/>
        <v>12750000</v>
      </c>
      <c r="G64" s="44">
        <f t="shared" si="1"/>
        <v>12750000</v>
      </c>
      <c r="H64" s="31"/>
      <c r="I64" s="31"/>
      <c r="J64" s="31"/>
      <c r="K64" s="31"/>
    </row>
    <row r="65" spans="2:80" ht="18.75" customHeight="1" x14ac:dyDescent="0.4">
      <c r="B65" s="31"/>
      <c r="C65" s="110" t="s">
        <v>141</v>
      </c>
      <c r="D65" s="92"/>
      <c r="E65" s="44">
        <f>IFERROR(IF(E57="","",HLOOKUP(E$57,$N$24:$R$29,3,0)),"err")</f>
        <v>5500000</v>
      </c>
      <c r="F65" s="44">
        <f>IFERROR(IF(F57="","",HLOOKUP(F$57,$N$39:$R$44,3,0)),"err")</f>
        <v>5500000</v>
      </c>
      <c r="G65" s="44">
        <f>IFERROR(IF(G57="","",HLOOKUP(G$57,$N$54:$R$59,3,0)),"err")</f>
        <v>5500000</v>
      </c>
      <c r="H65" s="31"/>
      <c r="I65" s="31"/>
      <c r="J65" s="31"/>
      <c r="K65" s="31"/>
    </row>
    <row r="66" spans="2:80" ht="18.75" customHeight="1" x14ac:dyDescent="0.4">
      <c r="B66" s="31"/>
      <c r="C66" s="27" t="s">
        <v>142</v>
      </c>
      <c r="D66" s="92"/>
      <c r="E66" s="44">
        <f>IFERROR(IF(E57="","",HLOOKUP(E$57,$N$24:$R$29,3,0))*5,"err")</f>
        <v>27500000</v>
      </c>
      <c r="F66" s="44">
        <f>IFERROR(IF(F57="","",HLOOKUP(F$57,$N$39:$R$44,3,0)*5),"err")</f>
        <v>27500000</v>
      </c>
      <c r="G66" s="44">
        <f>IFERROR(IF(G57="","",HLOOKUP(G$57,$N$54:$R$59,3,0))*5,"err")</f>
        <v>27500000</v>
      </c>
      <c r="H66" s="31"/>
      <c r="I66" s="31"/>
      <c r="J66" s="31"/>
      <c r="K66" s="31"/>
    </row>
    <row r="67" spans="2:80" ht="18.75" customHeight="1" x14ac:dyDescent="0.4">
      <c r="B67" s="31"/>
      <c r="C67" s="27" t="s">
        <v>133</v>
      </c>
      <c r="D67" s="93"/>
      <c r="E67" s="44">
        <f>IFERROR(IF(E57="","",HLOOKUP(E$57,$N$24:$R$29,5,0)),"err")</f>
        <v>11500000</v>
      </c>
      <c r="F67" s="44">
        <f>IFERROR(IF(F57="","",HLOOKUP(F$57,$N$39:$R$44,5,0)),"err")</f>
        <v>11200000</v>
      </c>
      <c r="G67" s="44">
        <f>IFERROR(IF(G57="","",HLOOKUP(G$57,$N$54:$R$59,5,0)),"err")</f>
        <v>8600000</v>
      </c>
      <c r="H67" s="31"/>
      <c r="I67" s="31"/>
      <c r="J67" s="31"/>
      <c r="K67" s="31"/>
      <c r="T67" s="113" t="s">
        <v>61</v>
      </c>
      <c r="U67" s="113"/>
      <c r="V67" s="113"/>
      <c r="W67" s="113"/>
      <c r="X67" s="113"/>
      <c r="Y67" s="113"/>
      <c r="Z67" s="113"/>
    </row>
    <row r="68" spans="2:80" ht="18.75" customHeight="1" x14ac:dyDescent="0.4">
      <c r="B68" s="31"/>
      <c r="C68" s="27" t="s">
        <v>144</v>
      </c>
      <c r="D68" s="93"/>
      <c r="E68" s="51">
        <f>IFERROR(IF(E57="","",HLOOKUP(E$57,$N$24:$R$29,6,0)),"err")</f>
        <v>52</v>
      </c>
      <c r="F68" s="45">
        <f>IFERROR(IF(F57="","",HLOOKUP(F$57,$N$39:$R$44,6,0)),"err")</f>
        <v>50</v>
      </c>
      <c r="G68" s="51">
        <f>IFERROR(IF(G57="","",HLOOKUP(G$57,$N$54:$R$59,6,0)),"err")</f>
        <v>36</v>
      </c>
      <c r="H68" s="31"/>
      <c r="I68" s="31"/>
      <c r="J68" s="31"/>
      <c r="K68" s="31"/>
      <c r="U68" s="17">
        <f>IF($G$44="対象",$G$36,"")</f>
        <v>46400000</v>
      </c>
      <c r="V68" s="17">
        <f>IF($G$44="対象",$G$36,"")</f>
        <v>46400000</v>
      </c>
      <c r="W68" s="17">
        <f>IF($G$44="対象",$G$36,"")</f>
        <v>46400000</v>
      </c>
      <c r="X68" s="17">
        <f>IF($G$44="対象",$G$36,"")</f>
        <v>46400000</v>
      </c>
      <c r="Y68" s="17">
        <f>IF($G$44="対象",$G$36,"")</f>
        <v>46400000</v>
      </c>
      <c r="Z68" s="1">
        <f>IF(G28="入力",COUNTIF(U71:Y71,"対象外"),0)</f>
        <v>2</v>
      </c>
    </row>
    <row r="69" spans="2:80" ht="18.75" customHeight="1" x14ac:dyDescent="0.4">
      <c r="B69" s="31"/>
      <c r="C69" s="110" t="s">
        <v>132</v>
      </c>
      <c r="D69" s="93"/>
      <c r="E69" s="44">
        <f>IFERROR(IF(E57="","",HLOOKUP(DATEVALUE(HLOOKUP(E$57,$N$24:$R$29,4,0)),$U$76:$CB$77,2,0)),"err")</f>
        <v>90000000</v>
      </c>
      <c r="F69" s="135">
        <f>IFERROR(IF(F57="","",HLOOKUP(DATEVALUE(HLOOKUP(F$57,$N$39:$R$44,4,0)),$U$76:$CB$77,2,0)),"err")</f>
        <v>100000000</v>
      </c>
      <c r="G69" s="44">
        <f>IFERROR(IF(G57="","",HLOOKUP(DATEVALUE(HLOOKUP(G$57,$N$54:$R$59,4,0)),$U$76:$CB$77,2,0)),"err")</f>
        <v>100000000</v>
      </c>
      <c r="H69" s="31"/>
      <c r="I69" s="31"/>
      <c r="J69" s="31"/>
      <c r="K69" s="31"/>
      <c r="T69" s="1" t="s">
        <v>38</v>
      </c>
      <c r="U69" s="38">
        <f>IFERROR(HLOOKUP($D$30,$D$30:$D$35,U72+1,0),"")</f>
        <v>9500000</v>
      </c>
      <c r="V69" s="38">
        <f>IFERROR(HLOOKUP($D$30,$D$30:$D$35,V72+1,0),"")</f>
        <v>5000000</v>
      </c>
      <c r="W69" s="38">
        <f>IFERROR(HLOOKUP($D$30,$D$30:$D$35,W72+1,0),"")</f>
        <v>5500000</v>
      </c>
      <c r="X69" s="38">
        <f>IFERROR(HLOOKUP($D$30,$D$30:$D$35,X72+1,0),"")</f>
        <v>0</v>
      </c>
      <c r="Y69" s="38">
        <f>IFERROR(HLOOKUP($D$30,$D$30:$D$35,Y72+1,0),"")</f>
        <v>0</v>
      </c>
    </row>
    <row r="70" spans="2:80" ht="18.75" customHeight="1" x14ac:dyDescent="0.4">
      <c r="B70" s="31"/>
      <c r="C70" s="110" t="s">
        <v>134</v>
      </c>
      <c r="D70" s="93"/>
      <c r="E70" s="103">
        <f>IFERROR(IF(E57="","",HLOOKUP(DATEVALUE(HLOOKUP(E$57,$N$24:$R$29,4,0)),$U$76:$CB$78,3,0)),"err")</f>
        <v>366</v>
      </c>
      <c r="F70" s="104">
        <f>IFERROR(IF(F57="","",HLOOKUP(DATEVALUE(HLOOKUP(F$57,$N$39:$R$44,4,0)),$U$76:$CB$78,3,0)),"err")</f>
        <v>365</v>
      </c>
      <c r="G70" s="103">
        <f>IFERROR(IF(G57="","",HLOOKUP(DATEVALUE(HLOOKUP(G$57,$N$54:$R$59,4,0)),$U$76:$CB$78,3,0)),"err")</f>
        <v>730</v>
      </c>
      <c r="H70" s="31"/>
      <c r="I70" s="31"/>
      <c r="J70" s="31"/>
      <c r="K70" s="31"/>
      <c r="T70" s="1" t="s">
        <v>49</v>
      </c>
      <c r="U70" s="1" t="str">
        <f>IF(G28="入力不要","",IF(COUNTA(G31:G35)=5,"","2018年-2019年が未入力の月があります。"))</f>
        <v/>
      </c>
      <c r="V70" s="49"/>
      <c r="W70" s="49"/>
      <c r="X70" s="49"/>
      <c r="Y70" s="49"/>
    </row>
    <row r="71" spans="2:80" x14ac:dyDescent="0.4">
      <c r="B71" s="31"/>
      <c r="C71" s="31"/>
      <c r="D71" s="31"/>
      <c r="E71" s="31"/>
      <c r="F71" s="31"/>
      <c r="G71" s="31"/>
      <c r="H71" s="31"/>
      <c r="I71" s="31"/>
      <c r="J71" s="31"/>
      <c r="K71" s="31"/>
      <c r="T71" s="1" t="s">
        <v>40</v>
      </c>
      <c r="U71" s="32" t="str">
        <f>IF(COUNTA(G31)=1,IF(G39&gt;=30,G39,"対象外"),"未入力")</f>
        <v>対象外</v>
      </c>
      <c r="V71" s="32" t="str">
        <f>IF(COUNTA(G32)=1,IF(G40&gt;=30,G40,"対象外"),"未入力")</f>
        <v>対象外</v>
      </c>
      <c r="W71" s="32">
        <f>IF(COUNTA(G33)=1,IF(G41&gt;=30,G41,"対象外"),"未入力")</f>
        <v>36</v>
      </c>
      <c r="X71" s="32" t="str">
        <f>IF(COUNTA(G34)=1,IF(G42&gt;=30,G42,"対象外"),"未入力")</f>
        <v/>
      </c>
      <c r="Y71" s="32" t="str">
        <f>IF(COUNTA(G35)=1,IF(G43&gt;=30,G43,"対象外"),"未入力")</f>
        <v/>
      </c>
    </row>
    <row r="72" spans="2:80" x14ac:dyDescent="0.4">
      <c r="B72" s="31"/>
      <c r="C72" s="111" t="s">
        <v>143</v>
      </c>
      <c r="D72" s="31"/>
      <c r="E72" s="31"/>
      <c r="F72" s="31"/>
      <c r="G72" s="31"/>
      <c r="H72" s="31"/>
      <c r="I72" s="31"/>
      <c r="J72" s="31"/>
      <c r="K72" s="31"/>
      <c r="T72" s="1" t="s">
        <v>44</v>
      </c>
      <c r="U72" s="1">
        <v>1</v>
      </c>
      <c r="V72" s="1">
        <v>2</v>
      </c>
      <c r="W72" s="1">
        <v>3</v>
      </c>
      <c r="X72" s="1">
        <v>4</v>
      </c>
      <c r="Y72" s="1">
        <v>5</v>
      </c>
    </row>
    <row r="73" spans="2:80" x14ac:dyDescent="0.4">
      <c r="B73" s="31"/>
      <c r="C73" s="31"/>
      <c r="D73" s="31"/>
      <c r="E73" s="31"/>
      <c r="F73" s="31"/>
      <c r="G73" s="31"/>
      <c r="H73" s="31"/>
      <c r="I73" s="31"/>
      <c r="J73" s="31"/>
      <c r="K73" s="31"/>
    </row>
    <row r="74" spans="2:80" x14ac:dyDescent="0.4">
      <c r="B74" s="31"/>
      <c r="C74" s="31"/>
      <c r="D74" s="31"/>
      <c r="E74" s="31"/>
      <c r="F74" s="31"/>
      <c r="G74" s="31"/>
      <c r="H74" s="31"/>
      <c r="I74" s="31"/>
      <c r="J74" s="31"/>
      <c r="K74" s="31"/>
    </row>
    <row r="75" spans="2:80" x14ac:dyDescent="0.4">
      <c r="B75" s="31"/>
      <c r="C75" s="31"/>
      <c r="D75" s="31"/>
      <c r="E75" s="31"/>
      <c r="F75" s="31"/>
      <c r="G75" s="31"/>
      <c r="H75" s="31"/>
      <c r="I75" s="31"/>
      <c r="J75" s="31"/>
      <c r="K75" s="31"/>
    </row>
    <row r="76" spans="2:80" x14ac:dyDescent="0.4">
      <c r="T76" s="69"/>
      <c r="U76" s="8">
        <f>C22</f>
        <v>44593</v>
      </c>
      <c r="V76" s="70">
        <f>DATE(YEAR(U76),MONTH(U76)-1,DAY(U76))</f>
        <v>44562</v>
      </c>
      <c r="W76" s="70">
        <f t="shared" ref="W76:AE76" si="2">DATE(YEAR(V76),MONTH(V76)-1,DAY(V76))</f>
        <v>44531</v>
      </c>
      <c r="X76" s="70">
        <f t="shared" si="2"/>
        <v>44501</v>
      </c>
      <c r="Y76" s="70">
        <f t="shared" si="2"/>
        <v>44470</v>
      </c>
      <c r="Z76" s="70">
        <f t="shared" si="2"/>
        <v>44440</v>
      </c>
      <c r="AA76" s="70">
        <f t="shared" si="2"/>
        <v>44409</v>
      </c>
      <c r="AB76" s="70">
        <f t="shared" si="2"/>
        <v>44378</v>
      </c>
      <c r="AC76" s="70">
        <f t="shared" si="2"/>
        <v>44348</v>
      </c>
      <c r="AD76" s="70">
        <f t="shared" si="2"/>
        <v>44317</v>
      </c>
      <c r="AE76" s="70">
        <f t="shared" si="2"/>
        <v>44287</v>
      </c>
      <c r="AF76" s="70">
        <f>DATE(YEAR(AE76),MONTH(AE76)-1,DAY(AE76))</f>
        <v>44256</v>
      </c>
      <c r="AG76" s="8">
        <f>C23</f>
        <v>44228</v>
      </c>
      <c r="AH76" s="70">
        <f t="shared" ref="AH76:AR76" si="3">DATE(YEAR(AG76),MONTH(AG76)-1,DAY(AG76))</f>
        <v>44197</v>
      </c>
      <c r="AI76" s="70">
        <f t="shared" si="3"/>
        <v>44166</v>
      </c>
      <c r="AJ76" s="70">
        <f t="shared" si="3"/>
        <v>44136</v>
      </c>
      <c r="AK76" s="70">
        <f t="shared" si="3"/>
        <v>44105</v>
      </c>
      <c r="AL76" s="70">
        <f t="shared" si="3"/>
        <v>44075</v>
      </c>
      <c r="AM76" s="70">
        <f t="shared" si="3"/>
        <v>44044</v>
      </c>
      <c r="AN76" s="70">
        <f t="shared" si="3"/>
        <v>44013</v>
      </c>
      <c r="AO76" s="70">
        <f t="shared" si="3"/>
        <v>43983</v>
      </c>
      <c r="AP76" s="70">
        <f t="shared" si="3"/>
        <v>43952</v>
      </c>
      <c r="AQ76" s="70">
        <f t="shared" si="3"/>
        <v>43922</v>
      </c>
      <c r="AR76" s="70">
        <f t="shared" si="3"/>
        <v>43891</v>
      </c>
      <c r="AS76" s="8">
        <f>C24</f>
        <v>43862</v>
      </c>
      <c r="AT76" s="70">
        <f t="shared" ref="AT76:BD76" si="4">DATE(YEAR(AS76),MONTH(AS76)-1,DAY(AS76))</f>
        <v>43831</v>
      </c>
      <c r="AU76" s="70">
        <f t="shared" si="4"/>
        <v>43800</v>
      </c>
      <c r="AV76" s="70">
        <f t="shared" si="4"/>
        <v>43770</v>
      </c>
      <c r="AW76" s="70">
        <f t="shared" si="4"/>
        <v>43739</v>
      </c>
      <c r="AX76" s="70">
        <f t="shared" si="4"/>
        <v>43709</v>
      </c>
      <c r="AY76" s="70">
        <f t="shared" si="4"/>
        <v>43678</v>
      </c>
      <c r="AZ76" s="70">
        <f t="shared" si="4"/>
        <v>43647</v>
      </c>
      <c r="BA76" s="70">
        <f t="shared" si="4"/>
        <v>43617</v>
      </c>
      <c r="BB76" s="70">
        <f t="shared" si="4"/>
        <v>43586</v>
      </c>
      <c r="BC76" s="70">
        <f t="shared" si="4"/>
        <v>43556</v>
      </c>
      <c r="BD76" s="70">
        <f t="shared" si="4"/>
        <v>43525</v>
      </c>
      <c r="BE76" s="8">
        <f>C25</f>
        <v>43497</v>
      </c>
      <c r="BF76" s="70">
        <f t="shared" ref="BF76:BP76" si="5">DATE(YEAR(BE76),MONTH(BE76)-1,DAY(BE76))</f>
        <v>43466</v>
      </c>
      <c r="BG76" s="70">
        <f t="shared" si="5"/>
        <v>43435</v>
      </c>
      <c r="BH76" s="70">
        <f t="shared" si="5"/>
        <v>43405</v>
      </c>
      <c r="BI76" s="70">
        <f t="shared" si="5"/>
        <v>43374</v>
      </c>
      <c r="BJ76" s="70">
        <f t="shared" si="5"/>
        <v>43344</v>
      </c>
      <c r="BK76" s="70">
        <f t="shared" si="5"/>
        <v>43313</v>
      </c>
      <c r="BL76" s="70">
        <f t="shared" si="5"/>
        <v>43282</v>
      </c>
      <c r="BM76" s="70">
        <f t="shared" si="5"/>
        <v>43252</v>
      </c>
      <c r="BN76" s="70">
        <f t="shared" si="5"/>
        <v>43221</v>
      </c>
      <c r="BO76" s="70">
        <f t="shared" si="5"/>
        <v>43191</v>
      </c>
      <c r="BP76" s="70">
        <f t="shared" si="5"/>
        <v>43160</v>
      </c>
      <c r="BQ76" s="70">
        <f t="shared" ref="BQ76:BY76" si="6">DATE(YEAR(BP76),MONTH(BP76)-1,DAY(BP76))</f>
        <v>43132</v>
      </c>
      <c r="BR76" s="70">
        <f t="shared" si="6"/>
        <v>43101</v>
      </c>
      <c r="BS76" s="70">
        <f t="shared" si="6"/>
        <v>43070</v>
      </c>
      <c r="BT76" s="70">
        <f t="shared" si="6"/>
        <v>43040</v>
      </c>
      <c r="BU76" s="70">
        <f t="shared" si="6"/>
        <v>43009</v>
      </c>
      <c r="BV76" s="70">
        <f t="shared" si="6"/>
        <v>42979</v>
      </c>
      <c r="BW76" s="70">
        <f t="shared" si="6"/>
        <v>42948</v>
      </c>
      <c r="BX76" s="70">
        <f t="shared" si="6"/>
        <v>42917</v>
      </c>
      <c r="BY76" s="70">
        <f t="shared" si="6"/>
        <v>42887</v>
      </c>
      <c r="BZ76" s="70">
        <f>DATE(YEAR(BY76),MONTH(BY76)-1,DAY(BY76))</f>
        <v>42856</v>
      </c>
      <c r="CA76" s="70">
        <f>DATE(YEAR(BZ76),MONTH(BZ76)-1,DAY(BZ76))</f>
        <v>42826</v>
      </c>
      <c r="CB76" s="70">
        <f>DATE(YEAR(CA76),MONTH(CA76)-1,DAY(CA76))</f>
        <v>42795</v>
      </c>
    </row>
    <row r="77" spans="2:80" x14ac:dyDescent="0.4">
      <c r="N77" s="17"/>
      <c r="U77" s="1">
        <f t="shared" ref="U77:AF77" si="7">$D$22</f>
        <v>90000000</v>
      </c>
      <c r="V77" s="1">
        <f t="shared" si="7"/>
        <v>90000000</v>
      </c>
      <c r="W77" s="1">
        <f t="shared" si="7"/>
        <v>90000000</v>
      </c>
      <c r="X77" s="1">
        <f t="shared" si="7"/>
        <v>90000000</v>
      </c>
      <c r="Y77" s="1">
        <f t="shared" si="7"/>
        <v>90000000</v>
      </c>
      <c r="Z77" s="1">
        <f t="shared" si="7"/>
        <v>90000000</v>
      </c>
      <c r="AA77" s="1">
        <f t="shared" si="7"/>
        <v>90000000</v>
      </c>
      <c r="AB77" s="1">
        <f t="shared" si="7"/>
        <v>90000000</v>
      </c>
      <c r="AC77" s="1">
        <f t="shared" si="7"/>
        <v>90000000</v>
      </c>
      <c r="AD77" s="1">
        <f t="shared" si="7"/>
        <v>90000000</v>
      </c>
      <c r="AE77" s="1">
        <f t="shared" si="7"/>
        <v>90000000</v>
      </c>
      <c r="AF77" s="1">
        <f t="shared" si="7"/>
        <v>90000000</v>
      </c>
      <c r="AG77" s="1">
        <f t="shared" ref="AG77:AR77" si="8">$D$23</f>
        <v>90000000</v>
      </c>
      <c r="AH77" s="1">
        <f t="shared" si="8"/>
        <v>90000000</v>
      </c>
      <c r="AI77" s="1">
        <f t="shared" si="8"/>
        <v>90000000</v>
      </c>
      <c r="AJ77" s="1">
        <f t="shared" si="8"/>
        <v>90000000</v>
      </c>
      <c r="AK77" s="1">
        <f t="shared" si="8"/>
        <v>90000000</v>
      </c>
      <c r="AL77" s="1">
        <f t="shared" si="8"/>
        <v>90000000</v>
      </c>
      <c r="AM77" s="1">
        <f t="shared" si="8"/>
        <v>90000000</v>
      </c>
      <c r="AN77" s="1">
        <f t="shared" si="8"/>
        <v>90000000</v>
      </c>
      <c r="AO77" s="1">
        <f t="shared" si="8"/>
        <v>90000000</v>
      </c>
      <c r="AP77" s="1">
        <f t="shared" si="8"/>
        <v>90000000</v>
      </c>
      <c r="AQ77" s="1">
        <f t="shared" si="8"/>
        <v>90000000</v>
      </c>
      <c r="AR77" s="1">
        <f t="shared" si="8"/>
        <v>90000000</v>
      </c>
      <c r="AS77" s="1">
        <f t="shared" ref="AS77:BD77" si="9">$D$24</f>
        <v>100000000</v>
      </c>
      <c r="AT77" s="1">
        <f t="shared" si="9"/>
        <v>100000000</v>
      </c>
      <c r="AU77" s="1">
        <f t="shared" si="9"/>
        <v>100000000</v>
      </c>
      <c r="AV77" s="1">
        <f t="shared" si="9"/>
        <v>100000000</v>
      </c>
      <c r="AW77" s="1">
        <f t="shared" si="9"/>
        <v>100000000</v>
      </c>
      <c r="AX77" s="1">
        <f t="shared" si="9"/>
        <v>100000000</v>
      </c>
      <c r="AY77" s="1">
        <f t="shared" si="9"/>
        <v>100000000</v>
      </c>
      <c r="AZ77" s="1">
        <f t="shared" si="9"/>
        <v>100000000</v>
      </c>
      <c r="BA77" s="1">
        <f t="shared" si="9"/>
        <v>100000000</v>
      </c>
      <c r="BB77" s="1">
        <f t="shared" si="9"/>
        <v>100000000</v>
      </c>
      <c r="BC77" s="1">
        <f t="shared" si="9"/>
        <v>100000000</v>
      </c>
      <c r="BD77" s="1">
        <f t="shared" si="9"/>
        <v>100000000</v>
      </c>
      <c r="BE77" s="1">
        <f t="shared" ref="BE77:BP77" si="10">$D$25</f>
        <v>100000000</v>
      </c>
      <c r="BF77" s="1">
        <f t="shared" si="10"/>
        <v>100000000</v>
      </c>
      <c r="BG77" s="1">
        <f t="shared" si="10"/>
        <v>100000000</v>
      </c>
      <c r="BH77" s="1">
        <f t="shared" si="10"/>
        <v>100000000</v>
      </c>
      <c r="BI77" s="1">
        <f t="shared" si="10"/>
        <v>100000000</v>
      </c>
      <c r="BJ77" s="1">
        <f t="shared" si="10"/>
        <v>100000000</v>
      </c>
      <c r="BK77" s="1">
        <f t="shared" si="10"/>
        <v>100000000</v>
      </c>
      <c r="BL77" s="1">
        <f t="shared" si="10"/>
        <v>100000000</v>
      </c>
      <c r="BM77" s="1">
        <f t="shared" si="10"/>
        <v>100000000</v>
      </c>
      <c r="BN77" s="1">
        <f t="shared" si="10"/>
        <v>100000000</v>
      </c>
      <c r="BO77" s="1">
        <f t="shared" si="10"/>
        <v>100000000</v>
      </c>
      <c r="BP77" s="1">
        <f t="shared" si="10"/>
        <v>100000000</v>
      </c>
      <c r="BQ77" s="72">
        <f>$D$26</f>
        <v>90000000</v>
      </c>
      <c r="BR77" s="72">
        <f t="shared" ref="BR77:CB77" si="11">$D$26</f>
        <v>90000000</v>
      </c>
      <c r="BS77" s="72">
        <f t="shared" si="11"/>
        <v>90000000</v>
      </c>
      <c r="BT77" s="72">
        <f t="shared" si="11"/>
        <v>90000000</v>
      </c>
      <c r="BU77" s="72">
        <f t="shared" si="11"/>
        <v>90000000</v>
      </c>
      <c r="BV77" s="72">
        <f t="shared" si="11"/>
        <v>90000000</v>
      </c>
      <c r="BW77" s="72">
        <f t="shared" si="11"/>
        <v>90000000</v>
      </c>
      <c r="BX77" s="72">
        <f t="shared" si="11"/>
        <v>90000000</v>
      </c>
      <c r="BY77" s="72">
        <f t="shared" si="11"/>
        <v>90000000</v>
      </c>
      <c r="BZ77" s="72">
        <f t="shared" si="11"/>
        <v>90000000</v>
      </c>
      <c r="CA77" s="72">
        <f t="shared" si="11"/>
        <v>90000000</v>
      </c>
      <c r="CB77" s="72">
        <f t="shared" si="11"/>
        <v>90000000</v>
      </c>
    </row>
    <row r="78" spans="2:80" ht="11.25" customHeight="1" x14ac:dyDescent="0.4">
      <c r="U78" s="102">
        <f>VALUE(DATE(YEAR($U$76),MONTH($U$76),1))-VALUE((DATE(YEAR($AG$76),MONTH($AG$76),1)))</f>
        <v>365</v>
      </c>
      <c r="V78" s="102">
        <f t="shared" ref="V78:AF78" si="12">VALUE(DATE(YEAR($U$76),MONTH($U$76),1))-VALUE((DATE(YEAR($AG$76),MONTH($AG$76),1)))</f>
        <v>365</v>
      </c>
      <c r="W78" s="102">
        <f t="shared" si="12"/>
        <v>365</v>
      </c>
      <c r="X78" s="102">
        <f t="shared" si="12"/>
        <v>365</v>
      </c>
      <c r="Y78" s="102">
        <f t="shared" si="12"/>
        <v>365</v>
      </c>
      <c r="Z78" s="102">
        <f t="shared" si="12"/>
        <v>365</v>
      </c>
      <c r="AA78" s="102">
        <f t="shared" si="12"/>
        <v>365</v>
      </c>
      <c r="AB78" s="102">
        <f t="shared" si="12"/>
        <v>365</v>
      </c>
      <c r="AC78" s="102">
        <f t="shared" si="12"/>
        <v>365</v>
      </c>
      <c r="AD78" s="102">
        <f t="shared" si="12"/>
        <v>365</v>
      </c>
      <c r="AE78" s="102">
        <f t="shared" si="12"/>
        <v>365</v>
      </c>
      <c r="AF78" s="102">
        <f t="shared" si="12"/>
        <v>365</v>
      </c>
      <c r="AG78" s="102">
        <f>VALUE(DATE(YEAR($AG$76),MONTH($AG$76),1))-VALUE((DATE(YEAR($AS$76),MONTH($AS$76),1)))</f>
        <v>366</v>
      </c>
      <c r="AH78" s="102">
        <f t="shared" ref="AH78:AR78" si="13">VALUE(DATE(YEAR($AG$76),MONTH($AG$76),1))-VALUE((DATE(YEAR($AS$76),MONTH($AS$76),1)))</f>
        <v>366</v>
      </c>
      <c r="AI78" s="102">
        <f t="shared" si="13"/>
        <v>366</v>
      </c>
      <c r="AJ78" s="102">
        <f t="shared" si="13"/>
        <v>366</v>
      </c>
      <c r="AK78" s="102">
        <f t="shared" si="13"/>
        <v>366</v>
      </c>
      <c r="AL78" s="102">
        <f t="shared" si="13"/>
        <v>366</v>
      </c>
      <c r="AM78" s="102">
        <f t="shared" si="13"/>
        <v>366</v>
      </c>
      <c r="AN78" s="102">
        <f t="shared" si="13"/>
        <v>366</v>
      </c>
      <c r="AO78" s="102">
        <f t="shared" si="13"/>
        <v>366</v>
      </c>
      <c r="AP78" s="102">
        <f t="shared" si="13"/>
        <v>366</v>
      </c>
      <c r="AQ78" s="102">
        <f t="shared" si="13"/>
        <v>366</v>
      </c>
      <c r="AR78" s="102">
        <f t="shared" si="13"/>
        <v>366</v>
      </c>
      <c r="AS78" s="102">
        <f>VALUE(DATE(YEAR($AS$76),MONTH($AS$76),1))-VALUE((DATE(YEAR($BE$76),MONTH($BE$76),1)))</f>
        <v>365</v>
      </c>
      <c r="AT78" s="102">
        <f t="shared" ref="AT78:BD78" si="14">VALUE(DATE(YEAR($AS$76),MONTH($AS$76),1))-VALUE((DATE(YEAR($BE$76),MONTH($BE$76),1)))</f>
        <v>365</v>
      </c>
      <c r="AU78" s="102">
        <f t="shared" si="14"/>
        <v>365</v>
      </c>
      <c r="AV78" s="102">
        <f t="shared" si="14"/>
        <v>365</v>
      </c>
      <c r="AW78" s="102">
        <f t="shared" si="14"/>
        <v>365</v>
      </c>
      <c r="AX78" s="102">
        <f t="shared" si="14"/>
        <v>365</v>
      </c>
      <c r="AY78" s="102">
        <f t="shared" si="14"/>
        <v>365</v>
      </c>
      <c r="AZ78" s="102">
        <f t="shared" si="14"/>
        <v>365</v>
      </c>
      <c r="BA78" s="102">
        <f t="shared" si="14"/>
        <v>365</v>
      </c>
      <c r="BB78" s="102">
        <f t="shared" si="14"/>
        <v>365</v>
      </c>
      <c r="BC78" s="102">
        <f t="shared" si="14"/>
        <v>365</v>
      </c>
      <c r="BD78" s="102">
        <f t="shared" si="14"/>
        <v>365</v>
      </c>
      <c r="BE78" s="102">
        <f>VALUE(DATE(YEAR($BE$76),MONTH($BE$76),1))-VALUE((DATE(YEAR($CB$76),MONTH($CB$76)-1,1)))</f>
        <v>730</v>
      </c>
      <c r="BF78" s="102">
        <f t="shared" ref="BF78:CB78" si="15">VALUE(DATE(YEAR($BE$76),MONTH($BE$76),1))-VALUE((DATE(YEAR($CB$76),MONTH($CB$76)-1,1)))</f>
        <v>730</v>
      </c>
      <c r="BG78" s="102">
        <f t="shared" si="15"/>
        <v>730</v>
      </c>
      <c r="BH78" s="102">
        <f t="shared" si="15"/>
        <v>730</v>
      </c>
      <c r="BI78" s="102">
        <f t="shared" si="15"/>
        <v>730</v>
      </c>
      <c r="BJ78" s="102">
        <f t="shared" si="15"/>
        <v>730</v>
      </c>
      <c r="BK78" s="102">
        <f t="shared" si="15"/>
        <v>730</v>
      </c>
      <c r="BL78" s="102">
        <f t="shared" si="15"/>
        <v>730</v>
      </c>
      <c r="BM78" s="102">
        <f t="shared" si="15"/>
        <v>730</v>
      </c>
      <c r="BN78" s="102">
        <f t="shared" si="15"/>
        <v>730</v>
      </c>
      <c r="BO78" s="102">
        <f t="shared" si="15"/>
        <v>730</v>
      </c>
      <c r="BP78" s="102">
        <f t="shared" si="15"/>
        <v>730</v>
      </c>
      <c r="BQ78" s="102">
        <f t="shared" si="15"/>
        <v>730</v>
      </c>
      <c r="BR78" s="102">
        <f t="shared" si="15"/>
        <v>730</v>
      </c>
      <c r="BS78" s="102">
        <f t="shared" si="15"/>
        <v>730</v>
      </c>
      <c r="BT78" s="102">
        <f t="shared" si="15"/>
        <v>730</v>
      </c>
      <c r="BU78" s="102">
        <f t="shared" si="15"/>
        <v>730</v>
      </c>
      <c r="BV78" s="102">
        <f t="shared" si="15"/>
        <v>730</v>
      </c>
      <c r="BW78" s="102">
        <f t="shared" si="15"/>
        <v>730</v>
      </c>
      <c r="BX78" s="102">
        <f t="shared" si="15"/>
        <v>730</v>
      </c>
      <c r="BY78" s="102">
        <f t="shared" si="15"/>
        <v>730</v>
      </c>
      <c r="BZ78" s="102">
        <f t="shared" si="15"/>
        <v>730</v>
      </c>
      <c r="CA78" s="102">
        <f t="shared" si="15"/>
        <v>730</v>
      </c>
      <c r="CB78" s="102">
        <f t="shared" si="15"/>
        <v>730</v>
      </c>
    </row>
  </sheetData>
  <sheetProtection sheet="1" objects="1" scenarios="1"/>
  <mergeCells count="13">
    <mergeCell ref="T67:Z67"/>
    <mergeCell ref="B4:F6"/>
    <mergeCell ref="H3:K6"/>
    <mergeCell ref="S16:V16"/>
    <mergeCell ref="H31:K35"/>
    <mergeCell ref="M51:R51"/>
    <mergeCell ref="M36:R36"/>
    <mergeCell ref="M21:R21"/>
    <mergeCell ref="T28:Z28"/>
    <mergeCell ref="T48:Z48"/>
    <mergeCell ref="H57:K63"/>
    <mergeCell ref="E29:G29"/>
    <mergeCell ref="C29:C30"/>
  </mergeCells>
  <phoneticPr fontId="3"/>
  <conditionalFormatting sqref="H3:L6">
    <cfRule type="cellIs" dxfId="38" priority="43" operator="equal">
      <formula>"入力OK"</formula>
    </cfRule>
  </conditionalFormatting>
  <conditionalFormatting sqref="E44:G44">
    <cfRule type="cellIs" dxfId="37" priority="39" operator="equal">
      <formula>"対象外"</formula>
    </cfRule>
    <cfRule type="cellIs" dxfId="36" priority="40" operator="equal">
      <formula>"対象"</formula>
    </cfRule>
  </conditionalFormatting>
  <conditionalFormatting sqref="D31:D35">
    <cfRule type="expression" dxfId="35" priority="37">
      <formula>IF(COUNTA($D$31:$D$35)&gt;=1,FALSE,TRUE)</formula>
    </cfRule>
  </conditionalFormatting>
  <conditionalFormatting sqref="C24">
    <cfRule type="expression" dxfId="34" priority="49">
      <formula>$T$12=2</formula>
    </cfRule>
  </conditionalFormatting>
  <conditionalFormatting sqref="C23">
    <cfRule type="expression" dxfId="33" priority="51">
      <formula>$T$12=2</formula>
    </cfRule>
  </conditionalFormatting>
  <conditionalFormatting sqref="C22">
    <cfRule type="expression" dxfId="32" priority="17">
      <formula>$T$12=2</formula>
    </cfRule>
    <cfRule type="cellIs" dxfId="31" priority="52" operator="equal">
      <formula>""</formula>
    </cfRule>
  </conditionalFormatting>
  <conditionalFormatting sqref="C25">
    <cfRule type="expression" dxfId="30" priority="19">
      <formula>$T$12=2</formula>
    </cfRule>
  </conditionalFormatting>
  <conditionalFormatting sqref="D22:D25">
    <cfRule type="cellIs" dxfId="29" priority="16" operator="equal">
      <formula>""</formula>
    </cfRule>
  </conditionalFormatting>
  <conditionalFormatting sqref="C26">
    <cfRule type="expression" dxfId="28" priority="15">
      <formula>$T$12=2</formula>
    </cfRule>
  </conditionalFormatting>
  <conditionalFormatting sqref="D26">
    <cfRule type="cellIs" dxfId="27" priority="13" operator="equal">
      <formula>""</formula>
    </cfRule>
  </conditionalFormatting>
  <conditionalFormatting sqref="D22:D26">
    <cfRule type="expression" dxfId="26" priority="12">
      <formula>IF($T$12=2,TRUE,FALSE)</formula>
    </cfRule>
  </conditionalFormatting>
  <conditionalFormatting sqref="E39:G43">
    <cfRule type="cellIs" dxfId="25" priority="11" operator="equal">
      <formula>""</formula>
    </cfRule>
  </conditionalFormatting>
  <conditionalFormatting sqref="E31:G35">
    <cfRule type="expression" dxfId="24" priority="9">
      <formula>IF(E$28="入力不要",TRUE,FALSE)</formula>
    </cfRule>
    <cfRule type="cellIs" dxfId="23" priority="10" operator="equal">
      <formula>""</formula>
    </cfRule>
  </conditionalFormatting>
  <conditionalFormatting sqref="E57:G69">
    <cfRule type="expression" dxfId="22" priority="56">
      <formula>IF(E$44="対象",FALSE,TRUE)</formula>
    </cfRule>
  </conditionalFormatting>
  <conditionalFormatting sqref="E56:G69">
    <cfRule type="expression" dxfId="21" priority="57">
      <formula>IF(MAX($E$57:$G$57)=E$57,TRUE,FALSE)</formula>
    </cfRule>
  </conditionalFormatting>
  <conditionalFormatting sqref="E60:G64">
    <cfRule type="expression" dxfId="20" priority="7">
      <formula>IF(E$44="対象",FALSE,TRUE)</formula>
    </cfRule>
  </conditionalFormatting>
  <conditionalFormatting sqref="E60:G64">
    <cfRule type="expression" dxfId="19" priority="8">
      <formula>IF(MAX($E$57:$G$57)=E$57,TRUE,FALSE)</formula>
    </cfRule>
  </conditionalFormatting>
  <conditionalFormatting sqref="E70:G70">
    <cfRule type="expression" dxfId="18" priority="5">
      <formula>IF(E$44="対象",FALSE,TRUE)</formula>
    </cfRule>
  </conditionalFormatting>
  <conditionalFormatting sqref="E70:G70">
    <cfRule type="expression" dxfId="17" priority="6">
      <formula>IF(MAX($E$57:$G$57)=E$57,TRUE,FALSE)</formula>
    </cfRule>
  </conditionalFormatting>
  <conditionalFormatting sqref="E65">
    <cfRule type="expression" dxfId="16" priority="3">
      <formula>IF(E$44="対象",FALSE,TRUE)</formula>
    </cfRule>
  </conditionalFormatting>
  <conditionalFormatting sqref="E65">
    <cfRule type="expression" dxfId="15" priority="4">
      <formula>IF(MAX($E$57:$G$57)=E$57,TRUE,FALSE)</formula>
    </cfRule>
  </conditionalFormatting>
  <conditionalFormatting sqref="F65:G65">
    <cfRule type="expression" dxfId="14" priority="1">
      <formula>IF(F$44="対象",FALSE,TRUE)</formula>
    </cfRule>
  </conditionalFormatting>
  <conditionalFormatting sqref="F65:G65">
    <cfRule type="expression" dxfId="13" priority="2">
      <formula>IF(MAX($E$57:$G$57)=F$57,TRUE,FALSE)</formula>
    </cfRule>
  </conditionalFormatting>
  <dataValidations disablePrompts="1" xWindow="339" yWindow="539" count="3">
    <dataValidation type="list" allowBlank="1" showInputMessage="1" showErrorMessage="1" sqref="E28:G28" xr:uid="{00000000-0002-0000-0200-000000000000}">
      <formula1>"入力,入力不要"</formula1>
    </dataValidation>
    <dataValidation type="whole" imeMode="off" allowBlank="1" showInputMessage="1" showErrorMessage="1" errorTitle="エラー" error="数値を入力してください。" sqref="D31:G35" xr:uid="{00000000-0002-0000-0200-000001000000}">
      <formula1>-9.99999999999999E+60</formula1>
      <formula2>9.99999999999999E+54</formula2>
    </dataValidation>
    <dataValidation allowBlank="1" showInputMessage="1" showErrorMessage="1" prompt="yyyy/mm の形式で年月を入力して下さい。" sqref="C22" xr:uid="{00000000-0002-0000-0200-000002000000}"/>
  </dataValidations>
  <printOptions horizontalCentered="1"/>
  <pageMargins left="0.23622047244094491" right="0.23622047244094491" top="0.74803149606299213" bottom="0.74803149606299213" header="0.31496062992125984" footer="0.31496062992125984"/>
  <pageSetup paperSize="9" scale="45" orientation="landscape"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locked="0" defaultSize="0" autoFill="0" autoLine="0" autoPict="0">
                <anchor moveWithCells="1">
                  <from>
                    <xdr:col>2</xdr:col>
                    <xdr:colOff>114300</xdr:colOff>
                    <xdr:row>17</xdr:row>
                    <xdr:rowOff>104775</xdr:rowOff>
                  </from>
                  <to>
                    <xdr:col>2</xdr:col>
                    <xdr:colOff>847725</xdr:colOff>
                    <xdr:row>19</xdr:row>
                    <xdr:rowOff>38100</xdr:rowOff>
                  </to>
                </anchor>
              </controlPr>
            </control>
          </mc:Choice>
        </mc:AlternateContent>
        <mc:AlternateContent xmlns:mc="http://schemas.openxmlformats.org/markup-compatibility/2006">
          <mc:Choice Requires="x14">
            <control shapeId="1029" r:id="rId5" name="Option Button 5">
              <controlPr locked="0" defaultSize="0" autoFill="0" autoLine="0" autoPict="0">
                <anchor moveWithCells="1">
                  <from>
                    <xdr:col>2</xdr:col>
                    <xdr:colOff>876300</xdr:colOff>
                    <xdr:row>17</xdr:row>
                    <xdr:rowOff>104775</xdr:rowOff>
                  </from>
                  <to>
                    <xdr:col>2</xdr:col>
                    <xdr:colOff>1609725</xdr:colOff>
                    <xdr:row>19</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CC78"/>
  <sheetViews>
    <sheetView showGridLines="0" zoomScale="70" zoomScaleNormal="70" workbookViewId="0">
      <pane ySplit="7" topLeftCell="A8" activePane="bottomLeft" state="frozen"/>
      <selection pane="bottomLeft"/>
    </sheetView>
  </sheetViews>
  <sheetFormatPr defaultColWidth="9" defaultRowHeight="13.5" x14ac:dyDescent="0.4"/>
  <cols>
    <col min="1" max="1" width="5.625" style="1" customWidth="1"/>
    <col min="2" max="2" width="29.625" style="1" customWidth="1"/>
    <col min="3" max="3" width="32.875" style="1" customWidth="1"/>
    <col min="4" max="8" width="29.5" style="1" customWidth="1"/>
    <col min="9" max="11" width="13.375" style="1" customWidth="1"/>
    <col min="12" max="12" width="6.375" style="1" customWidth="1"/>
    <col min="13" max="13" width="13.375" style="1" customWidth="1"/>
    <col min="14" max="18" width="15.875" style="1" customWidth="1"/>
    <col min="19" max="19" width="12.625" style="1" hidden="1" customWidth="1"/>
    <col min="20" max="27" width="20.625" style="1" hidden="1" customWidth="1"/>
    <col min="28" max="78" width="20.625" style="1" customWidth="1"/>
    <col min="79" max="80" width="20.75" style="1" customWidth="1"/>
    <col min="81" max="16384" width="9" style="1"/>
  </cols>
  <sheetData>
    <row r="1" spans="2:24" ht="9.75" customHeight="1" x14ac:dyDescent="0.4"/>
    <row r="2" spans="2:24" ht="21" x14ac:dyDescent="0.4">
      <c r="B2" s="21" t="s">
        <v>0</v>
      </c>
      <c r="C2" s="22"/>
      <c r="E2" s="2"/>
      <c r="H2" s="23" t="s">
        <v>31</v>
      </c>
      <c r="I2" s="24"/>
      <c r="J2" s="24"/>
      <c r="K2" s="25"/>
    </row>
    <row r="3" spans="2:24" ht="7.5" customHeight="1" x14ac:dyDescent="0.4">
      <c r="B3" s="3"/>
      <c r="C3" s="22"/>
      <c r="E3" s="2"/>
      <c r="H3" s="115" t="str">
        <f>IF(IF(T8="","",T8&amp;CHAR(10))&amp;IF(T9="","",T9&amp;CHAR(10))&amp;IF(T10="","",T10&amp;CHAR(10))&amp;IF(T11="","",T11&amp;CHAR(10))&amp;IF(T13="","",T13&amp;CHAR(10))&amp;IF(U31="","",U31&amp;CHAR(10))&amp;IF(U40="","",U40&amp;CHAR(10))&amp;IF(U55="","",U55&amp;CHAR(10))="","入力OK",IF(T8="","",T8&amp;CHAR(10))&amp;IF(T9="","",T9&amp;CHAR(10))&amp;IF(T10="","",T10&amp;CHAR(10))&amp;IF(T11="","",T11&amp;CHAR(10))&amp;IF(T13="","",T13&amp;CHAR(10))&amp;IF(U31="","",U31&amp;CHAR(10))&amp;IF(U40="","",U40&amp;CHAR(10))&amp;IF(U55="","",U55&amp;CHAR(10)))</f>
        <v>入力OK</v>
      </c>
      <c r="I3" s="116"/>
      <c r="J3" s="116"/>
      <c r="K3" s="117"/>
    </row>
    <row r="4" spans="2:24" ht="17.25" customHeight="1" x14ac:dyDescent="0.4">
      <c r="B4" s="114" t="s">
        <v>30</v>
      </c>
      <c r="C4" s="114"/>
      <c r="D4" s="114"/>
      <c r="E4" s="114"/>
      <c r="F4" s="114"/>
      <c r="H4" s="115"/>
      <c r="I4" s="116"/>
      <c r="J4" s="116"/>
      <c r="K4" s="117"/>
    </row>
    <row r="5" spans="2:24" ht="17.25" customHeight="1" x14ac:dyDescent="0.4">
      <c r="B5" s="114"/>
      <c r="C5" s="114"/>
      <c r="D5" s="114"/>
      <c r="E5" s="114"/>
      <c r="F5" s="114"/>
      <c r="H5" s="115"/>
      <c r="I5" s="116"/>
      <c r="J5" s="116"/>
      <c r="K5" s="117"/>
    </row>
    <row r="6" spans="2:24" ht="21.6" customHeight="1" x14ac:dyDescent="0.4">
      <c r="B6" s="114"/>
      <c r="C6" s="114"/>
      <c r="D6" s="114"/>
      <c r="E6" s="114"/>
      <c r="F6" s="114"/>
      <c r="H6" s="118"/>
      <c r="I6" s="119"/>
      <c r="J6" s="119"/>
      <c r="K6" s="120"/>
      <c r="S6" s="1" t="s">
        <v>29</v>
      </c>
    </row>
    <row r="7" spans="2:24" ht="9.75" customHeight="1" x14ac:dyDescent="0.4"/>
    <row r="8" spans="2:24" ht="12" customHeight="1" x14ac:dyDescent="0.4">
      <c r="B8" s="4"/>
      <c r="C8" s="4"/>
      <c r="D8" s="4"/>
      <c r="E8" s="4"/>
      <c r="F8" s="4"/>
      <c r="G8" s="4"/>
      <c r="H8" s="4"/>
      <c r="I8" s="4"/>
      <c r="J8" s="4"/>
      <c r="K8" s="4"/>
      <c r="S8" s="1" t="s">
        <v>49</v>
      </c>
      <c r="T8" s="1" t="str">
        <f>IF(D22="",C22&amp;"の年間売上高を入力して下さい。","")</f>
        <v/>
      </c>
    </row>
    <row r="9" spans="2:24" ht="18" customHeight="1" x14ac:dyDescent="0.4">
      <c r="B9" s="4"/>
      <c r="C9" s="18" t="s">
        <v>8</v>
      </c>
      <c r="D9" s="19"/>
      <c r="E9" s="19"/>
      <c r="F9" s="19"/>
      <c r="G9" s="20"/>
      <c r="H9" s="4"/>
      <c r="I9" s="4"/>
      <c r="J9" s="4"/>
      <c r="K9" s="4"/>
      <c r="S9" s="1" t="s">
        <v>49</v>
      </c>
      <c r="T9" s="1" t="str">
        <f>IF(D23="",C23&amp;"の年間売上高を入力して下さい。","")</f>
        <v/>
      </c>
    </row>
    <row r="10" spans="2:24" ht="5.25" customHeight="1" x14ac:dyDescent="0.4">
      <c r="B10" s="4"/>
      <c r="C10" s="4"/>
      <c r="D10" s="4"/>
      <c r="E10" s="4"/>
      <c r="F10" s="4"/>
      <c r="G10" s="4"/>
      <c r="H10" s="4"/>
      <c r="I10" s="4"/>
      <c r="J10" s="4"/>
      <c r="K10" s="4"/>
      <c r="S10" s="1" t="s">
        <v>49</v>
      </c>
      <c r="T10" s="1" t="str">
        <f>IF(D24="",C24&amp;"の年間売上高を入力して下さい。","")</f>
        <v/>
      </c>
      <c r="X10" s="1" t="str">
        <f>IF(D31="","対象月2021年11月が未入力のため判定されません。","")</f>
        <v/>
      </c>
    </row>
    <row r="11" spans="2:24" ht="18" customHeight="1" x14ac:dyDescent="0.4">
      <c r="B11" s="4"/>
      <c r="C11" s="5" t="s">
        <v>4</v>
      </c>
      <c r="D11" s="4"/>
      <c r="E11" s="4"/>
      <c r="F11" s="4"/>
      <c r="G11" s="4"/>
      <c r="H11" s="4"/>
      <c r="I11" s="4"/>
      <c r="J11" s="4"/>
      <c r="K11" s="4"/>
      <c r="S11" s="1" t="s">
        <v>49</v>
      </c>
      <c r="T11" s="1" t="str">
        <f>IF(D25="",C25&amp;"の年間売上高を入力して下さい。","")</f>
        <v/>
      </c>
      <c r="X11" s="1" t="str">
        <f>IF(D32="","対象月2021年12月が未入力のため判定されません。","")</f>
        <v/>
      </c>
    </row>
    <row r="12" spans="2:24" ht="18" customHeight="1" x14ac:dyDescent="0.4">
      <c r="B12" s="4"/>
      <c r="C12" s="5" t="s">
        <v>5</v>
      </c>
      <c r="D12" s="4"/>
      <c r="E12" s="4"/>
      <c r="F12" s="4"/>
      <c r="G12" s="4"/>
      <c r="H12" s="4"/>
      <c r="I12" s="4"/>
      <c r="J12" s="4"/>
      <c r="K12" s="4"/>
      <c r="S12" s="1" t="s">
        <v>51</v>
      </c>
      <c r="T12" s="106">
        <v>2</v>
      </c>
      <c r="U12" s="8" t="s">
        <v>10</v>
      </c>
      <c r="X12" s="1" t="str">
        <f>IF(D33="","対象月2022年1月が未入力のため判定されません。","")</f>
        <v/>
      </c>
    </row>
    <row r="13" spans="2:24" ht="18" customHeight="1" x14ac:dyDescent="0.4">
      <c r="B13" s="4"/>
      <c r="C13" s="5" t="s">
        <v>6</v>
      </c>
      <c r="D13" s="4"/>
      <c r="E13" s="4"/>
      <c r="F13" s="4"/>
      <c r="G13" s="4"/>
      <c r="H13" s="4"/>
      <c r="I13" s="4"/>
      <c r="J13" s="4"/>
      <c r="K13" s="4"/>
      <c r="S13" s="1" t="s">
        <v>58</v>
      </c>
      <c r="T13" s="1" t="str">
        <f>IF(COUNTA(D31:D35)&gt;=1,"","2021年-2022年が売上高が未入力のため対象月を1ヶ月以上入力して下さい。")</f>
        <v/>
      </c>
      <c r="U13" s="1" t="s">
        <v>11</v>
      </c>
      <c r="X13" s="1" t="str">
        <f>IF(D34="","対象月2022年2月が未入力のため判定されません。","")</f>
        <v/>
      </c>
    </row>
    <row r="14" spans="2:24" ht="18" customHeight="1" x14ac:dyDescent="0.4">
      <c r="B14" s="4"/>
      <c r="C14" s="5" t="s">
        <v>13</v>
      </c>
      <c r="D14" s="4"/>
      <c r="E14" s="4"/>
      <c r="F14" s="4"/>
      <c r="G14" s="4"/>
      <c r="H14" s="4"/>
      <c r="I14" s="4"/>
      <c r="J14" s="4"/>
      <c r="K14" s="4"/>
      <c r="S14" s="1" t="s">
        <v>65</v>
      </c>
      <c r="T14" s="1">
        <f>Z31+Z39+Z53</f>
        <v>0</v>
      </c>
      <c r="U14" s="1" t="s">
        <v>12</v>
      </c>
      <c r="X14" s="1" t="str">
        <f>IF(D35="","対象月2022年3月が未入力のため判定されません。","")</f>
        <v/>
      </c>
    </row>
    <row r="15" spans="2:24" ht="18" customHeight="1" x14ac:dyDescent="0.4">
      <c r="B15" s="4"/>
      <c r="C15" s="5" t="s">
        <v>7</v>
      </c>
      <c r="D15" s="4"/>
      <c r="E15" s="4"/>
      <c r="F15" s="4"/>
      <c r="G15" s="4"/>
      <c r="H15" s="4"/>
      <c r="I15" s="4"/>
      <c r="J15" s="4"/>
      <c r="K15" s="4"/>
      <c r="X15" s="94" t="e">
        <f>TEXT(DATE(YEAR(#REF!),MONTH(#REF!)-11,1),"yyyy""年""mm""月""")&amp;"～"&amp;TEXT(DATE(YEAR(#REF!),MONTH(#REF!),1),"yyyy""年""mm""月""")</f>
        <v>#REF!</v>
      </c>
    </row>
    <row r="16" spans="2:24" ht="5.25" customHeight="1" x14ac:dyDescent="0.4">
      <c r="B16" s="4"/>
      <c r="C16" s="5"/>
      <c r="D16" s="4"/>
      <c r="E16" s="4"/>
      <c r="F16" s="4"/>
      <c r="G16" s="4"/>
      <c r="H16" s="4"/>
      <c r="I16" s="4"/>
      <c r="J16" s="4"/>
      <c r="K16" s="4"/>
      <c r="S16" s="113" t="s">
        <v>45</v>
      </c>
      <c r="T16" s="113"/>
      <c r="U16" s="113"/>
      <c r="V16" s="113"/>
      <c r="X16" s="94" t="e">
        <f>TEXT(DATE(YEAR(C22),MONTH(C22)-11,1),"yyyy""年""mm""月""")&amp;"～"&amp;TEXT(DATE(YEAR(C22),MONTH(C22),1),"yyyy""年""mm""月""")</f>
        <v>#VALUE!</v>
      </c>
    </row>
    <row r="17" spans="2:81" ht="18" customHeight="1" x14ac:dyDescent="0.4">
      <c r="B17" s="4"/>
      <c r="C17" s="18" t="s">
        <v>1</v>
      </c>
      <c r="D17" s="20"/>
      <c r="E17" s="20"/>
      <c r="F17" s="20"/>
      <c r="G17" s="20"/>
      <c r="H17" s="4"/>
      <c r="I17" s="4"/>
      <c r="J17" s="4"/>
      <c r="K17" s="4"/>
      <c r="N17" s="17"/>
      <c r="S17" s="1" t="s">
        <v>22</v>
      </c>
      <c r="U17" s="16" t="s">
        <v>26</v>
      </c>
      <c r="V17" s="17">
        <v>500000</v>
      </c>
      <c r="X17" s="94" t="e">
        <f>TEXT(DATE(YEAR(C23),MONTH(C23)-11,1),"yyyy""年""mm""月""")&amp;"～"&amp;TEXT(DATE(YEAR(C23),MONTH(C23),1),"yyyy""年""mm""月""")</f>
        <v>#VALUE!</v>
      </c>
    </row>
    <row r="18" spans="2:81" ht="9" customHeight="1" x14ac:dyDescent="0.4">
      <c r="B18" s="6"/>
      <c r="C18" s="4"/>
      <c r="D18" s="4"/>
      <c r="E18" s="4"/>
      <c r="F18" s="4"/>
      <c r="G18" s="4"/>
      <c r="H18" s="4"/>
      <c r="I18" s="4"/>
      <c r="J18" s="4"/>
      <c r="K18" s="4"/>
      <c r="U18" s="1" t="s">
        <v>28</v>
      </c>
      <c r="V18" s="17">
        <v>300000</v>
      </c>
      <c r="X18" s="94" t="e">
        <f>TEXT(DATE(YEAR(C24),MONTH(C24)-11,1),"yyyy""年""mm""月""")&amp;"～"&amp;TEXT(DATE(YEAR(C24),MONTH(C24),1),"yyyy""年""mm""月""")</f>
        <v>#VALUE!</v>
      </c>
    </row>
    <row r="19" spans="2:81" ht="18" customHeight="1" x14ac:dyDescent="0.4">
      <c r="B19" s="6" t="s">
        <v>9</v>
      </c>
      <c r="C19" s="4" t="s">
        <v>116</v>
      </c>
      <c r="D19" s="14"/>
      <c r="E19" s="4"/>
      <c r="F19" s="4"/>
      <c r="G19" s="4"/>
      <c r="H19" s="4"/>
      <c r="I19" s="4"/>
      <c r="J19" s="4"/>
      <c r="K19" s="4"/>
      <c r="S19" s="1" t="s">
        <v>23</v>
      </c>
      <c r="T19" s="1" t="s">
        <v>10</v>
      </c>
      <c r="U19" s="16" t="s">
        <v>26</v>
      </c>
      <c r="V19" s="17">
        <v>1000000</v>
      </c>
      <c r="X19" s="94" t="e">
        <f>TEXT(DATE(YEAR(C25),MONTH(C25)-11,1),"yyyy""年""mm""月""")&amp;"～"&amp;TEXT(DATE(YEAR(C25),MONTH(C25),1),"yyyy""年""mm""月""")</f>
        <v>#VALUE!</v>
      </c>
    </row>
    <row r="20" spans="2:81" ht="9" customHeight="1" x14ac:dyDescent="0.4">
      <c r="B20" s="6"/>
      <c r="C20" s="4"/>
      <c r="D20" s="4"/>
      <c r="E20" s="4"/>
      <c r="F20" s="4"/>
      <c r="G20" s="4"/>
      <c r="H20" s="4"/>
      <c r="I20" s="4"/>
      <c r="J20" s="4"/>
      <c r="K20" s="4"/>
      <c r="T20" s="1" t="s">
        <v>10</v>
      </c>
      <c r="U20" s="1" t="s">
        <v>28</v>
      </c>
      <c r="V20" s="17">
        <v>600000</v>
      </c>
    </row>
    <row r="21" spans="2:81" ht="18.75" customHeight="1" x14ac:dyDescent="0.4">
      <c r="B21" s="6"/>
      <c r="C21" s="42" t="s">
        <v>67</v>
      </c>
      <c r="D21" s="42" t="s">
        <v>68</v>
      </c>
      <c r="E21" s="4"/>
      <c r="F21" s="4"/>
      <c r="G21" s="4"/>
      <c r="H21" s="4"/>
      <c r="I21" s="4"/>
      <c r="J21" s="4"/>
      <c r="K21" s="4"/>
      <c r="M21" s="113" t="s">
        <v>118</v>
      </c>
      <c r="N21" s="113"/>
      <c r="O21" s="113"/>
      <c r="P21" s="113"/>
      <c r="Q21" s="113"/>
      <c r="R21" s="113"/>
      <c r="T21" s="1" t="s">
        <v>11</v>
      </c>
      <c r="U21" s="16" t="s">
        <v>26</v>
      </c>
      <c r="V21" s="17">
        <v>1500000</v>
      </c>
    </row>
    <row r="22" spans="2:81" ht="18.75" customHeight="1" x14ac:dyDescent="0.4">
      <c r="B22" s="6" t="s">
        <v>117</v>
      </c>
      <c r="C22" s="101" t="s">
        <v>118</v>
      </c>
      <c r="D22" s="71">
        <v>900000</v>
      </c>
      <c r="E22" s="7" t="str">
        <f>T8</f>
        <v/>
      </c>
      <c r="F22" s="31"/>
      <c r="G22" s="4"/>
      <c r="H22" s="4"/>
      <c r="I22" s="4"/>
      <c r="J22" s="4"/>
      <c r="K22" s="4"/>
      <c r="M22" s="99"/>
      <c r="N22" s="99" t="s">
        <v>33</v>
      </c>
      <c r="O22" s="99" t="s">
        <v>34</v>
      </c>
      <c r="P22" s="99" t="s">
        <v>35</v>
      </c>
      <c r="Q22" s="99" t="s">
        <v>36</v>
      </c>
      <c r="R22" s="99" t="s">
        <v>37</v>
      </c>
      <c r="T22" s="1" t="s">
        <v>11</v>
      </c>
      <c r="U22" s="1" t="s">
        <v>28</v>
      </c>
      <c r="V22" s="17">
        <v>900000</v>
      </c>
    </row>
    <row r="23" spans="2:81" ht="18.75" customHeight="1" thickBot="1" x14ac:dyDescent="0.45">
      <c r="B23" s="6"/>
      <c r="C23" s="101" t="s">
        <v>119</v>
      </c>
      <c r="D23" s="71">
        <v>1000000</v>
      </c>
      <c r="E23" s="7" t="str">
        <f>T9</f>
        <v/>
      </c>
      <c r="F23" s="31"/>
      <c r="G23" s="4"/>
      <c r="H23" s="4"/>
      <c r="I23" s="4"/>
      <c r="J23" s="4"/>
      <c r="K23" s="4"/>
      <c r="M23" s="1" t="s">
        <v>50</v>
      </c>
      <c r="N23" s="33" t="str">
        <f>IF(COUNTIF($E$39,"&gt;="&amp;30)&gt;=1,"対象","対象外")</f>
        <v>対象</v>
      </c>
      <c r="O23" s="33" t="str">
        <f>IF(COUNTIF($E$40,"&gt;="&amp;30)&gt;=1,"対象","対象外")</f>
        <v>対象外</v>
      </c>
      <c r="P23" s="33" t="str">
        <f>IF(COUNTIF($E$41,"&gt;="&amp;30)&gt;=1,"対象","対象外")</f>
        <v>対象外</v>
      </c>
      <c r="Q23" s="33" t="str">
        <f>IF(COUNTIF($E$42,"&gt;="&amp;30)&gt;=1,"対象","対象外")</f>
        <v>対象外</v>
      </c>
      <c r="R23" s="33" t="str">
        <f>IF(COUNTIF($E$43,"&gt;="&amp;30)&gt;=1,"対象","対象外")</f>
        <v>対象外</v>
      </c>
      <c r="T23" s="1" t="s">
        <v>12</v>
      </c>
      <c r="U23" s="16" t="s">
        <v>26</v>
      </c>
      <c r="V23" s="17">
        <v>2500000</v>
      </c>
    </row>
    <row r="24" spans="2:81" ht="18" customHeight="1" thickTop="1" thickBot="1" x14ac:dyDescent="0.45">
      <c r="B24" s="6"/>
      <c r="C24" s="101" t="s">
        <v>120</v>
      </c>
      <c r="D24" s="71">
        <v>1000000</v>
      </c>
      <c r="E24" s="7" t="str">
        <f>T10</f>
        <v/>
      </c>
      <c r="F24" s="31"/>
      <c r="G24" s="4"/>
      <c r="H24" s="4"/>
      <c r="I24" s="4"/>
      <c r="J24" s="4"/>
      <c r="K24" s="4"/>
      <c r="M24" s="58" t="s">
        <v>14</v>
      </c>
      <c r="N24" s="63">
        <f>IFERROR(IF(N34="対象外",0,IF(N30*2+N28*3-N26*5&gt;0,IF(N34&gt;=N30*2+N28*3-N26*5,N30*2+N28*3-N26*5,N34),"＊＊＊＊＊")),"")</f>
        <v>141666.66666666663</v>
      </c>
      <c r="O24" s="63">
        <f>IFERROR(IF(O34="対象外",0,IF(O30*2+O28*3-O26*5&gt;0,IF(O34&gt;=O30*2+O28*3-O26*5,O30*2+O28*3-O26*5,O34),"＊＊＊＊＊")),"")</f>
        <v>0</v>
      </c>
      <c r="P24" s="63">
        <f>IFERROR(IF(P34="対象外",0,IF(P30*2+P28*3-P26*5&gt;0,IF(P34&gt;=P30*2+P28*3-P26*5,P30*2+P28*3-P26*5,P34),"＊＊＊＊＊")),"")</f>
        <v>0</v>
      </c>
      <c r="Q24" s="63">
        <f>IFERROR(IF(Q34="対象外",0,IF(Q30*2+Q28*3-Q26*5&gt;0,IF(Q34&gt;=Q30*2+Q28*3-Q26*5,Q30*2+Q28*3-Q26*5,Q34),"＊＊＊＊＊")),"")</f>
        <v>0</v>
      </c>
      <c r="R24" s="63">
        <f>IFERROR(IF(R34="対象外",0,IF(R30*2+R28*3-R26*5&gt;0,IF(R34&gt;=R30*2+R28*3-R26*5,R30*2+R28*3-R26*5,R34),"＊＊＊＊＊")),"")</f>
        <v>0</v>
      </c>
      <c r="T24" s="1" t="s">
        <v>12</v>
      </c>
      <c r="U24" s="1" t="s">
        <v>28</v>
      </c>
      <c r="V24" s="17">
        <v>1500000</v>
      </c>
      <c r="CC24" s="1" t="s">
        <v>66</v>
      </c>
    </row>
    <row r="25" spans="2:81" ht="18" customHeight="1" thickTop="1" x14ac:dyDescent="0.4">
      <c r="B25" s="6"/>
      <c r="C25" s="101" t="s">
        <v>121</v>
      </c>
      <c r="D25" s="71">
        <v>900000</v>
      </c>
      <c r="E25" s="7" t="str">
        <f>T11</f>
        <v/>
      </c>
      <c r="F25" s="31"/>
      <c r="G25" s="4"/>
      <c r="H25" s="4"/>
      <c r="I25" s="4"/>
      <c r="J25" s="4"/>
      <c r="K25" s="4"/>
      <c r="M25" s="54" t="s">
        <v>3</v>
      </c>
      <c r="N25" s="54" t="str">
        <f>IFERROR(IF(OR(HLOOKUP("売上高",$C$29:$C$35,U33+2,0)="11月",HLOOKUP("売上高",$C$29:$C$35,U33+2,0)="12月"),"2021年"&amp;HLOOKUP("売上高",$C$29:$C$35,U33+2,0),"2022年"&amp;HLOOKUP("売上高",$C$29:$C$35,U33+2,0)),"")</f>
        <v>2021年11月</v>
      </c>
      <c r="O25" s="54" t="str">
        <f>IFERROR(IF(OR(HLOOKUP("売上高",$C$29:$C$35,V33+2,0)="11月",HLOOKUP("売上高",$C$29:$C$35,V33+2,0)="12月"),"2021年"&amp;HLOOKUP("売上高",$C$29:$C$35,V33+2,0),"2022年"&amp;HLOOKUP("売上高",$C$29:$C$35,V33+2,0)),"")</f>
        <v>2021年12月</v>
      </c>
      <c r="P25" s="54" t="str">
        <f>IFERROR(IF(OR(HLOOKUP("売上高",$C$29:$C$35,W33+2,0)="11月",HLOOKUP("売上高",$C$29:$C$35,W33+2,0)="12月"),"2021年"&amp;HLOOKUP("売上高",$C$29:$C$35,W33+2,0),"2022年"&amp;HLOOKUP("売上高",$C$29:$C$35,W33+2,0)),"")</f>
        <v>2022年1月</v>
      </c>
      <c r="Q25" s="54" t="str">
        <f>IFERROR(IF(OR(HLOOKUP("売上高",$C$29:$C$35,X33+2,0)="11月",HLOOKUP("売上高",$C$29:$C$35,X33+2,0)="12月"),"2021年"&amp;HLOOKUP("売上高",$C$29:$C$35,X33+2,0),"2022年"&amp;HLOOKUP("売上高",$C$29:$C$35,X33+2,0)),"")</f>
        <v>2022年2月</v>
      </c>
      <c r="R25" s="54" t="str">
        <f>IFERROR(IF(OR(HLOOKUP("売上高",$C$29:$C$35,Y33+2,0)="11月",HLOOKUP("売上高",$C$29:$C$35,Y33+2,0)="12月"),"2021年"&amp;HLOOKUP("売上高",$C$29:$C$35,Y33+2,0),"2022年"&amp;HLOOKUP("売上高",$C$29:$C$35,Y33+2,0)),"")</f>
        <v>2022年3月</v>
      </c>
    </row>
    <row r="26" spans="2:81" ht="18" customHeight="1" x14ac:dyDescent="0.4">
      <c r="B26" s="4"/>
      <c r="C26" s="31"/>
      <c r="D26" s="31"/>
      <c r="E26" s="31"/>
      <c r="F26" s="31"/>
      <c r="G26" s="4"/>
      <c r="H26" s="4"/>
      <c r="I26" s="4"/>
      <c r="J26" s="4"/>
      <c r="K26" s="4"/>
      <c r="M26" s="55" t="s">
        <v>42</v>
      </c>
      <c r="N26" s="59">
        <f>IFERROR(IF(HLOOKUP($D30,$D$30:$D$35,U33+1,0)="","",HLOOKUP($D30,$D$30:$D$35,U33+1,0)),"")</f>
        <v>50000</v>
      </c>
      <c r="O26" s="59">
        <f>IFERROR(IF(HLOOKUP($D30,$D$30:$D$35,V33+1,0)="","",HLOOKUP($D30,$D$30:$D$35,V33+1,0)),"")</f>
        <v>60000</v>
      </c>
      <c r="P26" s="59">
        <f>IFERROR(IF(HLOOKUP($D30,$D$30:$D$35,W33+1,0)="","",HLOOKUP($D30,$D$30:$D$35,W33+1,0)),"")</f>
        <v>70000</v>
      </c>
      <c r="Q26" s="59">
        <f>IFERROR(IF(HLOOKUP($D30,$D$30:$D$35,X33+1,0)="","",HLOOKUP($D30,$D$30:$D$35,X33+1,0)),"")</f>
        <v>80000</v>
      </c>
      <c r="R26" s="59">
        <f>IFERROR(IF(HLOOKUP($D30,$D$30:$D$35,Y33+1,0)="","",HLOOKUP($D30,$D$30:$D$35,Y33+1,0)),"")</f>
        <v>90000</v>
      </c>
    </row>
    <row r="27" spans="2:81" ht="18" customHeight="1" x14ac:dyDescent="0.4">
      <c r="B27" s="6"/>
      <c r="C27" s="67"/>
      <c r="D27" s="4"/>
      <c r="E27" s="4"/>
      <c r="F27" s="4"/>
      <c r="G27" s="4"/>
      <c r="H27" s="4"/>
      <c r="I27" s="4"/>
      <c r="J27" s="4"/>
      <c r="K27" s="4"/>
      <c r="M27" s="55" t="s">
        <v>2</v>
      </c>
      <c r="N27" s="55" t="str">
        <f>$M$21</f>
        <v>2021年度</v>
      </c>
      <c r="O27" s="55" t="str">
        <f>$M$21</f>
        <v>2021年度</v>
      </c>
      <c r="P27" s="55" t="str">
        <f>$M$21</f>
        <v>2021年度</v>
      </c>
      <c r="Q27" s="55" t="str">
        <f>$M$21</f>
        <v>2021年度</v>
      </c>
      <c r="R27" s="55" t="str">
        <f>$M$21</f>
        <v>2021年度</v>
      </c>
    </row>
    <row r="28" spans="2:81" ht="18" customHeight="1" x14ac:dyDescent="0.4">
      <c r="B28" s="31"/>
      <c r="C28" s="31"/>
      <c r="D28" s="31"/>
      <c r="E28" s="4"/>
      <c r="F28" s="4"/>
      <c r="G28" s="4"/>
      <c r="H28" s="4"/>
      <c r="I28" s="4"/>
      <c r="J28" s="31"/>
      <c r="K28" s="31"/>
      <c r="M28" s="55" t="s">
        <v>125</v>
      </c>
      <c r="N28" s="59">
        <f>$E$36/12</f>
        <v>75000</v>
      </c>
      <c r="O28" s="59">
        <f>$E$36/12</f>
        <v>75000</v>
      </c>
      <c r="P28" s="59">
        <f>$E$36/12</f>
        <v>75000</v>
      </c>
      <c r="Q28" s="59">
        <f>$E$36/12</f>
        <v>75000</v>
      </c>
      <c r="R28" s="59">
        <f>$E$36/12</f>
        <v>75000</v>
      </c>
      <c r="T28" s="113" t="s">
        <v>123</v>
      </c>
      <c r="U28" s="113"/>
      <c r="V28" s="113"/>
      <c r="W28" s="113"/>
      <c r="X28" s="113"/>
      <c r="Y28" s="113"/>
      <c r="Z28" s="113"/>
    </row>
    <row r="29" spans="2:81" ht="18" customHeight="1" x14ac:dyDescent="0.4">
      <c r="B29" s="41" t="s">
        <v>46</v>
      </c>
      <c r="C29" s="127" t="s">
        <v>39</v>
      </c>
      <c r="D29" s="96" t="s">
        <v>112</v>
      </c>
      <c r="E29" s="129" t="s">
        <v>113</v>
      </c>
      <c r="F29" s="130"/>
      <c r="G29" s="130"/>
      <c r="H29" s="131"/>
      <c r="I29" s="4"/>
      <c r="J29" s="4"/>
      <c r="K29" s="4"/>
      <c r="M29" s="55" t="s">
        <v>2</v>
      </c>
      <c r="N29" s="55" t="str">
        <f>$M$36</f>
        <v>202０年度</v>
      </c>
      <c r="O29" s="55" t="str">
        <f>$M$36</f>
        <v>202０年度</v>
      </c>
      <c r="P29" s="55" t="str">
        <f>$M$36</f>
        <v>202０年度</v>
      </c>
      <c r="Q29" s="55" t="str">
        <f>$M$36</f>
        <v>202０年度</v>
      </c>
      <c r="R29" s="55" t="str">
        <f>$M$36</f>
        <v>202０年度</v>
      </c>
      <c r="U29" s="17">
        <f>IF($E$44="対象",$E36,"")</f>
        <v>900000</v>
      </c>
      <c r="V29" s="17">
        <f>IF($E$44="対象",$E36,"")</f>
        <v>900000</v>
      </c>
      <c r="W29" s="17">
        <f>IF($E$44="対象",$E36,"")</f>
        <v>900000</v>
      </c>
      <c r="X29" s="17">
        <f>IF($E$44="対象",$E36,"")</f>
        <v>900000</v>
      </c>
      <c r="Y29" s="17">
        <f>IF($E$44="対象",$E36,"")</f>
        <v>900000</v>
      </c>
    </row>
    <row r="30" spans="2:81" ht="18" customHeight="1" x14ac:dyDescent="0.4">
      <c r="B30" s="31"/>
      <c r="C30" s="128"/>
      <c r="D30" s="96" t="s">
        <v>107</v>
      </c>
      <c r="E30" s="101" t="s">
        <v>118</v>
      </c>
      <c r="F30" s="101" t="s">
        <v>119</v>
      </c>
      <c r="G30" s="101" t="s">
        <v>120</v>
      </c>
      <c r="H30" s="101" t="s">
        <v>121</v>
      </c>
      <c r="I30" s="4"/>
      <c r="J30" s="4"/>
      <c r="K30" s="4"/>
      <c r="M30" s="55" t="s">
        <v>125</v>
      </c>
      <c r="N30" s="59">
        <f>$F$36/12</f>
        <v>83333.333333333328</v>
      </c>
      <c r="O30" s="59">
        <f>$F$36/12</f>
        <v>83333.333333333328</v>
      </c>
      <c r="P30" s="59">
        <f>$F$36/12</f>
        <v>83333.333333333328</v>
      </c>
      <c r="Q30" s="59">
        <f>$F$36/12</f>
        <v>83333.333333333328</v>
      </c>
      <c r="R30" s="59">
        <f>$F$36/12</f>
        <v>83333.333333333328</v>
      </c>
      <c r="T30" s="1" t="s">
        <v>38</v>
      </c>
      <c r="U30" s="38">
        <f>IFERROR(HLOOKUP($D$30,$D$30:$D$35,U33+1,0),"")</f>
        <v>50000</v>
      </c>
      <c r="V30" s="38">
        <f>IFERROR(HLOOKUP($D$30,$D$30:$D$35,V33+1,0),"")</f>
        <v>60000</v>
      </c>
      <c r="W30" s="38">
        <f>IFERROR(HLOOKUP($D$30,$D$30:$D$35,W33+1,0),"")</f>
        <v>70000</v>
      </c>
      <c r="X30" s="38">
        <f>IFERROR(HLOOKUP($D$30,$D$30:$D$35,X33+1,0),"")</f>
        <v>80000</v>
      </c>
      <c r="Y30" s="38">
        <f>IFERROR(HLOOKUP($D$30,$D$30:$D$35,Y33+1,0),"")</f>
        <v>90000</v>
      </c>
    </row>
    <row r="31" spans="2:81" ht="18" customHeight="1" x14ac:dyDescent="0.4">
      <c r="B31" s="31"/>
      <c r="C31" s="27" t="s">
        <v>33</v>
      </c>
      <c r="D31" s="46">
        <v>50000</v>
      </c>
      <c r="E31" s="107"/>
      <c r="F31" s="107"/>
      <c r="G31" s="107"/>
      <c r="H31" s="107"/>
      <c r="I31" s="132" t="str">
        <f>IF(T13="","",T13&amp;CHAR(10))&amp;IF(U31="","",U31&amp;CHAR(10))&amp;IF(U40="","",U40&amp;CHAR(10))&amp;IF(U55="","",U55&amp;CHAR(10))</f>
        <v/>
      </c>
      <c r="J31" s="133"/>
      <c r="K31" s="133"/>
      <c r="M31" s="55" t="s">
        <v>40</v>
      </c>
      <c r="N31" s="56">
        <f>IFERROR(ROUNDDOWN((1-N26/N30)*100,0),"")</f>
        <v>40</v>
      </c>
      <c r="O31" s="56">
        <f>IFERROR(ROUNDDOWN((1-O26/O30)*100,0),"")</f>
        <v>28</v>
      </c>
      <c r="P31" s="56">
        <f>IFERROR(ROUNDDOWN((1-P26/P28)*100,0),"")</f>
        <v>6</v>
      </c>
      <c r="Q31" s="56">
        <f>IFERROR(ROUNDDOWN((1-Q26/Q28)*100,0),"")</f>
        <v>-6</v>
      </c>
      <c r="R31" s="56">
        <f>IFERROR(ROUNDDOWN((1-R26/R28)*100,0),"")</f>
        <v>-20</v>
      </c>
      <c r="V31" s="49"/>
      <c r="W31" s="49"/>
      <c r="X31" s="49"/>
      <c r="Y31" s="49"/>
      <c r="Z31" s="1">
        <f>IF(E28="入力",COUNTIF(U32:Y32,"対象外"),0)</f>
        <v>0</v>
      </c>
    </row>
    <row r="32" spans="2:81" ht="18" customHeight="1" x14ac:dyDescent="0.4">
      <c r="B32" s="31"/>
      <c r="C32" s="27" t="s">
        <v>34</v>
      </c>
      <c r="D32" s="46">
        <v>60000</v>
      </c>
      <c r="E32" s="107"/>
      <c r="F32" s="107"/>
      <c r="G32" s="107"/>
      <c r="H32" s="107"/>
      <c r="I32" s="132"/>
      <c r="J32" s="133"/>
      <c r="K32" s="133"/>
      <c r="M32" s="55" t="s">
        <v>24</v>
      </c>
      <c r="N32" s="55" t="str">
        <f>IF(判定_個人白色!$T$12=1,"法人","個人")</f>
        <v>個人</v>
      </c>
      <c r="O32" s="55" t="str">
        <f>IF(判定_個人白色!$T$12=1,"法人","個人")</f>
        <v>個人</v>
      </c>
      <c r="P32" s="55" t="str">
        <f>IF(判定_個人白色!$T$12=1,"法人","個人")</f>
        <v>個人</v>
      </c>
      <c r="Q32" s="55" t="str">
        <f>IF(判定_個人白色!$T$12=1,"法人","個人")</f>
        <v>個人</v>
      </c>
      <c r="R32" s="55" t="str">
        <f>IF(判定_個人白色!$T$12=1,"法人","個人")</f>
        <v>個人</v>
      </c>
      <c r="T32" s="1" t="s">
        <v>40</v>
      </c>
      <c r="U32" s="32" t="str">
        <f>IF(COUNTA(E31)=1,IF(E39&gt;=30,E39,"対象外"),"未入力")</f>
        <v>未入力</v>
      </c>
      <c r="V32" s="32" t="str">
        <f>IF(COUNTA(E32)=1,IF(E40&gt;=30,E40,"対象外"),"未入力")</f>
        <v>未入力</v>
      </c>
      <c r="W32" s="32" t="str">
        <f>IF(COUNTA(E33)=1,IF(E41&gt;=30,E41,"対象外"),"未入力")</f>
        <v>未入力</v>
      </c>
      <c r="X32" s="32" t="str">
        <f>IF(COUNTA(E34)=1,IF(E42&gt;=30,E42,"対象外"),"未入力")</f>
        <v>未入力</v>
      </c>
      <c r="Y32" s="32" t="str">
        <f>IF(COUNTA(E35)=1,IF(E43&gt;=30,E43,"対象外"),"未入力")</f>
        <v>未入力</v>
      </c>
    </row>
    <row r="33" spans="2:81" ht="18" customHeight="1" x14ac:dyDescent="0.4">
      <c r="B33" s="31"/>
      <c r="C33" s="27" t="s">
        <v>35</v>
      </c>
      <c r="D33" s="46">
        <v>70000</v>
      </c>
      <c r="E33" s="107"/>
      <c r="F33" s="107"/>
      <c r="G33" s="107"/>
      <c r="H33" s="107"/>
      <c r="I33" s="132"/>
      <c r="J33" s="133"/>
      <c r="K33" s="133"/>
      <c r="M33" s="55" t="s">
        <v>25</v>
      </c>
      <c r="N33" s="55" t="str">
        <f>IF(N31&gt;=50,"50%以上",IF(N31&lt;30,"対象外","30%～50%未満"))</f>
        <v>30%～50%未満</v>
      </c>
      <c r="O33" s="55" t="str">
        <f>IF(O31&gt;=50,"50%以上",IF(O31&lt;30,"対象外","30%～50%未満"))</f>
        <v>対象外</v>
      </c>
      <c r="P33" s="55" t="str">
        <f>IF(P31&gt;=50,"50%以上",IF(P31&lt;30,"対象外","30%～50%未満"))</f>
        <v>対象外</v>
      </c>
      <c r="Q33" s="55" t="str">
        <f>IF(Q31&gt;=50,"50%以上",IF(Q31&lt;30,"対象外","30%～50%未満"))</f>
        <v>対象外</v>
      </c>
      <c r="R33" s="55" t="str">
        <f>IF(R31&gt;=50,"50%以上",IF(R31&lt;30,"対象外","30%～50%未満"))</f>
        <v>対象外</v>
      </c>
      <c r="T33" s="1" t="s">
        <v>44</v>
      </c>
      <c r="U33" s="1">
        <v>1</v>
      </c>
      <c r="V33" s="1">
        <v>2</v>
      </c>
      <c r="W33" s="1">
        <v>3</v>
      </c>
      <c r="X33" s="1">
        <v>4</v>
      </c>
      <c r="Y33" s="1">
        <v>5</v>
      </c>
    </row>
    <row r="34" spans="2:81" ht="18" customHeight="1" x14ac:dyDescent="0.4">
      <c r="B34" s="31"/>
      <c r="C34" s="27" t="s">
        <v>36</v>
      </c>
      <c r="D34" s="86">
        <v>80000</v>
      </c>
      <c r="E34" s="107"/>
      <c r="F34" s="107"/>
      <c r="G34" s="107"/>
      <c r="H34" s="107"/>
      <c r="I34" s="132"/>
      <c r="J34" s="133"/>
      <c r="K34" s="133"/>
      <c r="M34" s="55" t="s">
        <v>43</v>
      </c>
      <c r="N34" s="60">
        <f>IF(N31="","対象外",IF(N32="個人",IF(N33=$U$17,$V$17,IF(N33=$U$18,$V$18,"対象外")),IF(N33="対象外","対象外",IF(#REF!=$T$19,IF(N33=$U$19,$V$19,$V$20),IF(#REF!=$T$21,IF(N33=$U$21,$V$21,$V$22),IF(#REF!=$T$23,IF(N33=$U$23,$V$23,$V$24)))))))</f>
        <v>300000</v>
      </c>
      <c r="O34" s="60" t="str">
        <f>IF(O31="","対象外",IF(O32="個人",IF(O33=$U$17,$V$17,IF(O33=$U$18,$V$18,"対象外")),IF(O33="対象外","対象外",IF(#REF!=$T$19,IF(O33=$U$19,$V$19,$V$20),IF(#REF!=$T$21,IF(O33=$U$21,$V$21,$V$22),IF(#REF!=$T$23,IF(O33=$U$23,$V$23,$V$24)))))))</f>
        <v>対象外</v>
      </c>
      <c r="P34" s="60" t="str">
        <f>IF(P31="","対象外",IF(P32="個人",IF(P33=$U$17,$V$17,IF(P33=$U$18,$V$18,"対象外")),IF(P33="対象外","対象外",IF(#REF!=$T$19,IF(P33=$U$19,$V$19,$V$20),IF(#REF!=$T$21,IF(P33=$U$21,$V$21,$V$22),IF(#REF!=$T$23,IF(P33=$U$23,$V$23,$V$24)))))))</f>
        <v>対象外</v>
      </c>
      <c r="Q34" s="60" t="str">
        <f>IF(Q31="","対象外",IF(Q32="個人",IF(Q33=$U$17,$V$17,IF(Q33=$U$18,$V$18,"対象外")),IF(Q33="対象外","対象外",IF(#REF!=$T$19,IF(Q33=$U$19,$V$19,$V$20),IF(#REF!=$T$21,IF(Q33=$U$21,$V$21,$V$22),IF(#REF!=$T$23,IF(Q33=$U$23,$V$23,$V$24)))))))</f>
        <v>対象外</v>
      </c>
      <c r="R34" s="60" t="str">
        <f>IF(R31="","対象外",IF(R32="個人",IF(R33=$U$17,$V$17,IF(R33=$U$18,$V$18,"対象外")),IF(R33="対象外","対象外",IF(#REF!=$T$19,IF(R33=$U$19,$V$19,$V$20),IF(#REF!=$T$21,IF(R33=$U$21,$V$21,$V$22),IF(#REF!=$T$23,IF(R33=$U$23,$V$23,$V$24)))))))</f>
        <v>対象外</v>
      </c>
    </row>
    <row r="35" spans="2:81" ht="18" customHeight="1" thickBot="1" x14ac:dyDescent="0.45">
      <c r="B35" s="31"/>
      <c r="C35" s="28" t="s">
        <v>37</v>
      </c>
      <c r="D35" s="87">
        <v>90000</v>
      </c>
      <c r="E35" s="108"/>
      <c r="F35" s="108"/>
      <c r="G35" s="108"/>
      <c r="H35" s="108"/>
      <c r="I35" s="132"/>
      <c r="J35" s="133"/>
      <c r="K35" s="133"/>
    </row>
    <row r="36" spans="2:81" ht="18" customHeight="1" thickTop="1" x14ac:dyDescent="0.4">
      <c r="B36" s="31"/>
      <c r="C36" s="29" t="s">
        <v>48</v>
      </c>
      <c r="D36" s="30">
        <f>SUM(D31:D35)</f>
        <v>350000</v>
      </c>
      <c r="E36" s="30">
        <f>D22</f>
        <v>900000</v>
      </c>
      <c r="F36" s="30">
        <f>D23</f>
        <v>1000000</v>
      </c>
      <c r="G36" s="30">
        <f>D24</f>
        <v>1000000</v>
      </c>
      <c r="H36" s="30">
        <f>D25</f>
        <v>900000</v>
      </c>
      <c r="I36" s="4"/>
      <c r="J36" s="4"/>
      <c r="K36" s="4"/>
      <c r="M36" s="113" t="s">
        <v>122</v>
      </c>
      <c r="N36" s="113"/>
      <c r="O36" s="113"/>
      <c r="P36" s="113"/>
      <c r="Q36" s="113"/>
      <c r="R36" s="113"/>
    </row>
    <row r="37" spans="2:81" ht="18" customHeight="1" x14ac:dyDescent="0.4">
      <c r="B37" s="31"/>
      <c r="C37" s="13"/>
      <c r="D37" s="4"/>
      <c r="E37" s="4"/>
      <c r="F37" s="4"/>
      <c r="G37" s="4"/>
      <c r="H37" s="4"/>
      <c r="I37" s="4"/>
      <c r="J37" s="4"/>
      <c r="K37" s="4"/>
      <c r="M37" s="99"/>
      <c r="N37" s="99" t="s">
        <v>33</v>
      </c>
      <c r="O37" s="99" t="s">
        <v>34</v>
      </c>
      <c r="P37" s="99" t="s">
        <v>35</v>
      </c>
      <c r="Q37" s="99" t="s">
        <v>36</v>
      </c>
      <c r="R37" s="99" t="s">
        <v>37</v>
      </c>
      <c r="T37" s="113" t="s">
        <v>124</v>
      </c>
      <c r="U37" s="113"/>
      <c r="V37" s="113"/>
      <c r="W37" s="113"/>
      <c r="X37" s="113"/>
      <c r="Y37" s="113"/>
      <c r="Z37" s="113"/>
    </row>
    <row r="38" spans="2:81" ht="18" customHeight="1" thickBot="1" x14ac:dyDescent="0.45">
      <c r="B38" s="31"/>
      <c r="C38" s="26" t="s">
        <v>32</v>
      </c>
      <c r="D38" s="26" t="str">
        <f>D30</f>
        <v>2021年-2022年</v>
      </c>
      <c r="E38" s="26" t="str">
        <f>E30</f>
        <v>2021年度</v>
      </c>
      <c r="F38" s="26" t="str">
        <f>F30</f>
        <v>2020年度</v>
      </c>
      <c r="G38" s="26" t="str">
        <f>G30</f>
        <v>2019年度</v>
      </c>
      <c r="H38" s="4"/>
      <c r="I38" s="4"/>
      <c r="J38" s="4"/>
      <c r="K38" s="4"/>
      <c r="M38" s="1" t="s">
        <v>50</v>
      </c>
      <c r="N38" s="33" t="str">
        <f>IF(COUNTIF(F39,"&gt;="&amp;30)&gt;=1,"対象","対象外")</f>
        <v>対象</v>
      </c>
      <c r="O38" s="33" t="str">
        <f>IF(COUNTIF(F40,"&gt;="&amp;30)&gt;=1,"対象","対象外")</f>
        <v>対象外</v>
      </c>
      <c r="P38" s="33" t="str">
        <f>IF(COUNTIF(F41,"&gt;="&amp;30)&gt;=1,"対象","対象外")</f>
        <v>対象外</v>
      </c>
      <c r="Q38" s="33" t="str">
        <f>IF(COUNTIF(F42,"&gt;="&amp;30)&gt;=1,"対象","対象外")</f>
        <v>対象外</v>
      </c>
      <c r="R38" s="33" t="str">
        <f>IF(COUNTIF(F43,"&gt;="&amp;30)&gt;=1,"対象","対象外")</f>
        <v>対象外</v>
      </c>
      <c r="U38" s="17">
        <f>IF($F$44="対象",$F$36,"")</f>
        <v>1000000</v>
      </c>
      <c r="V38" s="17">
        <f>IF($F$44="対象",$F$36,"")</f>
        <v>1000000</v>
      </c>
      <c r="W38" s="17">
        <f>IF($F$44="対象",$F$36,"")</f>
        <v>1000000</v>
      </c>
      <c r="X38" s="17">
        <f>IF($F$44="対象",$F$36,"")</f>
        <v>1000000</v>
      </c>
      <c r="Y38" s="17">
        <f>IF($F$44="対象",$F$36,"")</f>
        <v>1000000</v>
      </c>
    </row>
    <row r="39" spans="2:81" ht="18" customHeight="1" thickTop="1" thickBot="1" x14ac:dyDescent="0.45">
      <c r="B39" s="31"/>
      <c r="C39" s="27" t="s">
        <v>33</v>
      </c>
      <c r="D39" s="39"/>
      <c r="E39" s="40">
        <f>N31</f>
        <v>40</v>
      </c>
      <c r="F39" s="40">
        <f>N46</f>
        <v>40</v>
      </c>
      <c r="G39" s="40">
        <f>N61</f>
        <v>33</v>
      </c>
      <c r="H39" s="4"/>
      <c r="I39" s="4"/>
      <c r="J39" s="4"/>
      <c r="K39" s="4"/>
      <c r="M39" s="58" t="s">
        <v>14</v>
      </c>
      <c r="N39" s="63">
        <f>IFERROR(IF(N49="対象外",0,IF(N45*2+N43*3-N41*5&gt;0,IF(N49&gt;=N45*2+N43*3-N41*5,N45*2+N43*3-N41*5,N49),"＊＊＊＊＊")),"")</f>
        <v>166666.66666666663</v>
      </c>
      <c r="O39" s="63">
        <f>IFERROR(IF(O49="対象外",0,IF(O45*2+O43*3-O41*5&gt;0,IF(O49&gt;=O45*2+O43*3-O41*5,O45*2+O43*3-O41*5,O49),"＊＊＊＊＊")),"")</f>
        <v>0</v>
      </c>
      <c r="P39" s="63">
        <f>IFERROR(IF(P49="対象外",0,IF(P45*2+P43*3-P41*5&gt;0,IF(P49&gt;=P45*2+P43*3-P41*5,P45*2+P43*3-P41*5,P49),"＊＊＊＊＊")),"")</f>
        <v>0</v>
      </c>
      <c r="Q39" s="63">
        <f>IFERROR(IF(Q49="対象外",0,IF(Q45*2+Q43*3-Q41*5&gt;0,IF(Q49&gt;=Q45*2+Q43*3-Q41*5,Q45*2+Q43*3-Q41*5,Q49),"＊＊＊＊＊")),"")</f>
        <v>0</v>
      </c>
      <c r="R39" s="63">
        <f>IFERROR(IF(R49="対象外",0,IF(R45*2+R43*3-R41*5&gt;0,IF(R49&gt;=R45*2+R43*3-R41*5,R45*2+R43*3-R41*5,R49),"＊＊＊＊＊")),"")</f>
        <v>0</v>
      </c>
      <c r="T39" s="1" t="s">
        <v>38</v>
      </c>
      <c r="U39" s="38">
        <f>IFERROR(HLOOKUP($D$30,$D$30:$D$35,U42+1,0),"")</f>
        <v>50000</v>
      </c>
      <c r="V39" s="38">
        <f>IFERROR(HLOOKUP($D$30,$D$30:$D$35,V42+1,0),"")</f>
        <v>60000</v>
      </c>
      <c r="W39" s="38">
        <f>IFERROR(HLOOKUP($D$30,$D$30:$D$35,W42+1,0),"")</f>
        <v>70000</v>
      </c>
      <c r="X39" s="38">
        <f>IFERROR(HLOOKUP($D$30,$D$30:$D$35,X42+1,0),"")</f>
        <v>80000</v>
      </c>
      <c r="Y39" s="38">
        <f>IFERROR(HLOOKUP($D$30,$D$30:$D$35,Y42+1,0),"")</f>
        <v>90000</v>
      </c>
      <c r="Z39" s="1">
        <f>IF(F28="入力",COUNTIF(U41:Y41,"対象外"),0)</f>
        <v>0</v>
      </c>
      <c r="CC39" s="1" t="s">
        <v>66</v>
      </c>
    </row>
    <row r="40" spans="2:81" ht="18" customHeight="1" thickTop="1" x14ac:dyDescent="0.4">
      <c r="B40" s="31"/>
      <c r="C40" s="27" t="s">
        <v>34</v>
      </c>
      <c r="D40" s="39"/>
      <c r="E40" s="40">
        <f>O31</f>
        <v>28</v>
      </c>
      <c r="F40" s="40">
        <f>O46</f>
        <v>28</v>
      </c>
      <c r="G40" s="40">
        <f>O61</f>
        <v>20</v>
      </c>
      <c r="H40" s="4"/>
      <c r="I40" s="4"/>
      <c r="J40" s="4"/>
      <c r="K40" s="4"/>
      <c r="M40" s="57" t="s">
        <v>3</v>
      </c>
      <c r="N40" s="57" t="str">
        <f>IFERROR(IF(OR(HLOOKUP("売上高",$C$29:$C$35,U33+2,0)="11月",HLOOKUP("売上高",$C$29:$C$35,U33+2,0)="12月"),"2021年"&amp;HLOOKUP("売上高",$C$29:$C$35,U33+2,0),"2022年"&amp;HLOOKUP("売上高",$C$29:$C$35,U33+2,0)),"")</f>
        <v>2021年11月</v>
      </c>
      <c r="O40" s="57" t="str">
        <f>IFERROR(IF(OR(HLOOKUP("売上高",$C$29:$C$35,V33+2,0)="11月",HLOOKUP("売上高",$C$29:$C$35,V33+2,0)="12月"),"2021年"&amp;HLOOKUP("売上高",$C$29:$C$35,V33+2,0),"2022年"&amp;HLOOKUP("売上高",$C$29:$C$35,V33+2,0)),"")</f>
        <v>2021年12月</v>
      </c>
      <c r="P40" s="57" t="str">
        <f>IFERROR(IF(OR(HLOOKUP("売上高",$C$29:$C$35,W33+2,0)="11月",HLOOKUP("売上高",$C$29:$C$35,W33+2,0)="12月"),"2021年"&amp;HLOOKUP("売上高",$C$29:$C$35,W33+2,0),"2022年"&amp;HLOOKUP("売上高",$C$29:$C$35,W33+2,0)),"")</f>
        <v>2022年1月</v>
      </c>
      <c r="Q40" s="57" t="str">
        <f>IFERROR(IF(OR(HLOOKUP("売上高",$C$29:$C$35,X33+2,0)="11月",HLOOKUP("売上高",$C$29:$C$35,X33+2,0)="12月"),"2021年"&amp;HLOOKUP("売上高",$C$29:$C$35,X33+2,0),"2022年"&amp;HLOOKUP("売上高",$C$29:$C$35,X33+2,0)),"")</f>
        <v>2022年2月</v>
      </c>
      <c r="R40" s="57" t="str">
        <f>IFERROR(IF(OR(HLOOKUP("売上高",$C$29:$C$35,Y33+2,0)="11月",HLOOKUP("売上高",$C$29:$C$35,Y33+2,0)="12月"),"2021年"&amp;HLOOKUP("売上高",$C$29:$C$35,Y33+2,0),"2022年"&amp;HLOOKUP("売上高",$C$29:$C$35,Y33+2,0)),"")</f>
        <v>2022年3月</v>
      </c>
      <c r="V40" s="49"/>
      <c r="W40" s="49"/>
      <c r="X40" s="49"/>
      <c r="Y40" s="49"/>
    </row>
    <row r="41" spans="2:81" ht="18" customHeight="1" x14ac:dyDescent="0.4">
      <c r="B41" s="31"/>
      <c r="C41" s="27" t="s">
        <v>35</v>
      </c>
      <c r="D41" s="39"/>
      <c r="E41" s="40">
        <f>P31</f>
        <v>6</v>
      </c>
      <c r="F41" s="40">
        <f>P46</f>
        <v>16</v>
      </c>
      <c r="G41" s="40">
        <f>P61</f>
        <v>16</v>
      </c>
      <c r="H41" s="4"/>
      <c r="I41" s="4"/>
      <c r="J41" s="4"/>
      <c r="K41" s="4"/>
      <c r="M41" s="55" t="s">
        <v>42</v>
      </c>
      <c r="N41" s="59">
        <f>IFERROR(IF(HLOOKUP($D$30,$D$30:$D$35,U42+1,0)="","",HLOOKUP($D$30,$D$30:$D$35,U42+1,0)),"")</f>
        <v>50000</v>
      </c>
      <c r="O41" s="59">
        <f>IFERROR(IF(HLOOKUP($D$30,$D$30:$D$35,V42+1,0)="","",HLOOKUP($D$30,$D$30:$D$35,V42+1,0)),"")</f>
        <v>60000</v>
      </c>
      <c r="P41" s="59">
        <f>IFERROR(IF(HLOOKUP($D$30,$D$30:$D$35,W42+1,0)="","",HLOOKUP($D$30,$D$30:$D$35,W42+1,0)),"")</f>
        <v>70000</v>
      </c>
      <c r="Q41" s="59">
        <f>IFERROR(IF(HLOOKUP($D$30,$D$30:$D$35,X42+1,0)="","",HLOOKUP($D$30,$D$30:$D$35,X42+1,0)),"")</f>
        <v>80000</v>
      </c>
      <c r="R41" s="59">
        <f>IFERROR(IF(HLOOKUP($D$30,$D$30:$D$35,Y42+1,0)="","",HLOOKUP($D$30,$D$30:$D$35,Y42+1,0)),"")</f>
        <v>90000</v>
      </c>
      <c r="T41" s="1" t="s">
        <v>40</v>
      </c>
      <c r="U41" s="32" t="str">
        <f>IF(COUNTA(F31)=1,IF(F39&gt;=30,F39,"対象外"),"未入力")</f>
        <v>未入力</v>
      </c>
      <c r="V41" s="32" t="str">
        <f>IF(COUNTA(F32)=1,IF(F40&gt;=30,F40,"対象外"),"未入力")</f>
        <v>未入力</v>
      </c>
      <c r="W41" s="32" t="str">
        <f>IF(COUNTA(F33)=1,IF(F41&gt;=30,F41,"対象外"),"未入力")</f>
        <v>未入力</v>
      </c>
      <c r="X41" s="32" t="str">
        <f>IF(COUNTA(F34)=1,IF(F42&gt;=30,F42,"対象外"),"未入力")</f>
        <v>未入力</v>
      </c>
      <c r="Y41" s="32" t="str">
        <f>IF(COUNTA(F35)=1,IF(F43&gt;=30,F43,"対象外"),"未入力")</f>
        <v>未入力</v>
      </c>
    </row>
    <row r="42" spans="2:81" ht="18" customHeight="1" x14ac:dyDescent="0.4">
      <c r="B42" s="31"/>
      <c r="C42" s="27" t="s">
        <v>36</v>
      </c>
      <c r="D42" s="39"/>
      <c r="E42" s="40">
        <f>Q31</f>
        <v>-6</v>
      </c>
      <c r="F42" s="40">
        <f>Q46</f>
        <v>3</v>
      </c>
      <c r="G42" s="40">
        <f>Q61</f>
        <v>3</v>
      </c>
      <c r="H42" s="4"/>
      <c r="I42" s="4"/>
      <c r="J42" s="4"/>
      <c r="K42" s="4"/>
      <c r="M42" s="55" t="s">
        <v>2</v>
      </c>
      <c r="N42" s="55" t="str">
        <f>$M$36</f>
        <v>202０年度</v>
      </c>
      <c r="O42" s="55" t="str">
        <f>$M$36</f>
        <v>202０年度</v>
      </c>
      <c r="P42" s="55" t="str">
        <f>$M$36</f>
        <v>202０年度</v>
      </c>
      <c r="Q42" s="55" t="str">
        <f>$M$36</f>
        <v>202０年度</v>
      </c>
      <c r="R42" s="55" t="str">
        <f>$M$36</f>
        <v>202０年度</v>
      </c>
      <c r="T42" s="1" t="s">
        <v>44</v>
      </c>
      <c r="U42" s="1">
        <v>1</v>
      </c>
      <c r="V42" s="1">
        <v>2</v>
      </c>
      <c r="W42" s="1">
        <v>3</v>
      </c>
      <c r="X42" s="1">
        <v>4</v>
      </c>
      <c r="Y42" s="1">
        <v>5</v>
      </c>
    </row>
    <row r="43" spans="2:81" ht="18" customHeight="1" thickBot="1" x14ac:dyDescent="0.45">
      <c r="B43" s="31"/>
      <c r="C43" s="27" t="s">
        <v>37</v>
      </c>
      <c r="D43" s="39"/>
      <c r="E43" s="40">
        <f>R31</f>
        <v>-20</v>
      </c>
      <c r="F43" s="40">
        <f>R46</f>
        <v>-8</v>
      </c>
      <c r="G43" s="40">
        <f>R61</f>
        <v>-8</v>
      </c>
      <c r="H43" s="4"/>
      <c r="I43" s="4"/>
      <c r="J43" s="4"/>
      <c r="K43" s="4"/>
      <c r="M43" s="55" t="s">
        <v>125</v>
      </c>
      <c r="N43" s="59">
        <f>$F$36/12</f>
        <v>83333.333333333328</v>
      </c>
      <c r="O43" s="59">
        <f>$F$36/12</f>
        <v>83333.333333333328</v>
      </c>
      <c r="P43" s="59">
        <f>$F$36/12</f>
        <v>83333.333333333328</v>
      </c>
      <c r="Q43" s="59">
        <f>$F$36/12</f>
        <v>83333.333333333328</v>
      </c>
      <c r="R43" s="59">
        <f>$F$36/12</f>
        <v>83333.333333333328</v>
      </c>
    </row>
    <row r="44" spans="2:81" ht="18" customHeight="1" thickTop="1" thickBot="1" x14ac:dyDescent="0.45">
      <c r="B44" s="31"/>
      <c r="C44" s="37" t="s">
        <v>47</v>
      </c>
      <c r="D44" s="34"/>
      <c r="E44" s="35" t="str">
        <f>IF(COUNTIF(E39:E43,"&gt;="&amp;30)&gt;=1,"対象","対象外")</f>
        <v>対象</v>
      </c>
      <c r="F44" s="35" t="str">
        <f>IF(COUNTIF(F39:F43,"&gt;="&amp;30)&gt;=1,"対象","対象外")</f>
        <v>対象</v>
      </c>
      <c r="G44" s="36" t="str">
        <f>IF(COUNTIF(G39:G43,"&gt;="&amp;30)&gt;=1,"対象","対象外")</f>
        <v>対象</v>
      </c>
      <c r="H44" s="4"/>
      <c r="I44" s="4"/>
      <c r="J44" s="4"/>
      <c r="K44" s="4"/>
      <c r="M44" s="55" t="s">
        <v>2</v>
      </c>
      <c r="N44" s="55" t="str">
        <f>$M$51</f>
        <v>2019年度</v>
      </c>
      <c r="O44" s="55" t="str">
        <f>$M$51</f>
        <v>2019年度</v>
      </c>
      <c r="P44" s="55" t="str">
        <f>$M$51</f>
        <v>2019年度</v>
      </c>
      <c r="Q44" s="55" t="str">
        <f>$M$51</f>
        <v>2019年度</v>
      </c>
      <c r="R44" s="55" t="str">
        <f>$M$51</f>
        <v>2019年度</v>
      </c>
    </row>
    <row r="45" spans="2:81" ht="18" customHeight="1" thickTop="1" x14ac:dyDescent="0.4">
      <c r="B45" s="31"/>
      <c r="C45" s="13"/>
      <c r="D45" s="4"/>
      <c r="E45" s="4"/>
      <c r="F45" s="4"/>
      <c r="G45" s="4"/>
      <c r="H45" s="4"/>
      <c r="I45" s="4"/>
      <c r="J45" s="4"/>
      <c r="K45" s="4"/>
      <c r="M45" s="55" t="s">
        <v>125</v>
      </c>
      <c r="N45" s="59">
        <f>$G$36/12</f>
        <v>83333.333333333328</v>
      </c>
      <c r="O45" s="59">
        <f>$G$36/12</f>
        <v>83333.333333333328</v>
      </c>
      <c r="P45" s="59">
        <f>$G$36/12</f>
        <v>83333.333333333328</v>
      </c>
      <c r="Q45" s="59">
        <f>$G$36/12</f>
        <v>83333.333333333328</v>
      </c>
      <c r="R45" s="59">
        <f>$G$36/12</f>
        <v>83333.333333333328</v>
      </c>
    </row>
    <row r="46" spans="2:81" ht="18" customHeight="1" x14ac:dyDescent="0.4">
      <c r="B46" s="4"/>
      <c r="C46" s="18" t="s">
        <v>15</v>
      </c>
      <c r="D46" s="20"/>
      <c r="E46" s="20"/>
      <c r="F46" s="20"/>
      <c r="G46" s="20"/>
      <c r="H46" s="4"/>
      <c r="I46" s="4"/>
      <c r="J46" s="4"/>
      <c r="K46" s="4"/>
      <c r="M46" s="55" t="s">
        <v>40</v>
      </c>
      <c r="N46" s="56">
        <f>IFERROR(ROUNDDOWN((1-N41/N45)*100,0),"")</f>
        <v>40</v>
      </c>
      <c r="O46" s="56">
        <f>IFERROR(ROUNDDOWN((1-O41/O45)*100,0),"")</f>
        <v>28</v>
      </c>
      <c r="P46" s="56">
        <f>IFERROR(ROUNDDOWN((1-P41/P43)*100,0),"")</f>
        <v>16</v>
      </c>
      <c r="Q46" s="56">
        <f>IFERROR(ROUNDDOWN((1-Q41/Q43)*100,0),"")</f>
        <v>3</v>
      </c>
      <c r="R46" s="56">
        <f>IFERROR(ROUNDDOWN((1-R41/R43)*100,0),"")</f>
        <v>-8</v>
      </c>
    </row>
    <row r="47" spans="2:81" ht="18" customHeight="1" x14ac:dyDescent="0.4">
      <c r="B47" s="4"/>
      <c r="C47" s="4"/>
      <c r="D47" s="4"/>
      <c r="E47" s="4"/>
      <c r="F47" s="4"/>
      <c r="G47" s="4"/>
      <c r="H47" s="4"/>
      <c r="I47" s="4"/>
      <c r="J47" s="4"/>
      <c r="K47" s="4"/>
      <c r="M47" s="55" t="s">
        <v>24</v>
      </c>
      <c r="N47" s="55" t="str">
        <f>IF(判定_個人白色!$T$12=1,"法人","個人")</f>
        <v>個人</v>
      </c>
      <c r="O47" s="55" t="str">
        <f>IF(判定_個人白色!$T$12=1,"法人","個人")</f>
        <v>個人</v>
      </c>
      <c r="P47" s="55" t="str">
        <f>IF(判定_個人白色!$T$12=1,"法人","個人")</f>
        <v>個人</v>
      </c>
      <c r="Q47" s="55" t="str">
        <f>IF(判定_個人白色!$T$12=1,"法人","個人")</f>
        <v>個人</v>
      </c>
      <c r="R47" s="55" t="str">
        <f>IF(判定_個人白色!$T$12=1,"法人","個人")</f>
        <v>個人</v>
      </c>
      <c r="S47" s="17"/>
    </row>
    <row r="48" spans="2:81" ht="18" customHeight="1" x14ac:dyDescent="0.4">
      <c r="B48" s="4"/>
      <c r="C48" s="5" t="s">
        <v>16</v>
      </c>
      <c r="D48" s="4"/>
      <c r="E48" s="4"/>
      <c r="F48" s="4"/>
      <c r="G48" s="4"/>
      <c r="H48" s="4"/>
      <c r="I48" s="4"/>
      <c r="J48" s="4"/>
      <c r="K48" s="4"/>
      <c r="M48" s="55" t="s">
        <v>25</v>
      </c>
      <c r="N48" s="55" t="str">
        <f>IF(N46&gt;=50,"50%以上",IF(N46&lt;30,"対象外","30%～50%未満"))</f>
        <v>30%～50%未満</v>
      </c>
      <c r="O48" s="55" t="str">
        <f>IF(O46&gt;=50,"50%以上",IF(O46&lt;30,"対象外","30%～50%未満"))</f>
        <v>対象外</v>
      </c>
      <c r="P48" s="55" t="str">
        <f>IF(P46&gt;=50,"50%以上",IF(P46&lt;30,"対象外","30%～50%未満"))</f>
        <v>対象外</v>
      </c>
      <c r="Q48" s="55" t="str">
        <f>IF(Q46&gt;=50,"50%以上",IF(Q46&lt;30,"対象外","30%～50%未満"))</f>
        <v>対象外</v>
      </c>
      <c r="R48" s="55" t="str">
        <f>IF(R46&gt;=50,"50%以上",IF(R46&lt;30,"対象外","30%～50%未満"))</f>
        <v>対象外</v>
      </c>
      <c r="S48" s="17"/>
    </row>
    <row r="49" spans="2:81" ht="18" customHeight="1" x14ac:dyDescent="0.4">
      <c r="B49" s="4"/>
      <c r="C49" s="5" t="s">
        <v>17</v>
      </c>
      <c r="D49" s="4"/>
      <c r="E49" s="4"/>
      <c r="F49" s="4"/>
      <c r="G49" s="4"/>
      <c r="H49" s="4"/>
      <c r="I49" s="4"/>
      <c r="J49" s="4"/>
      <c r="K49" s="4"/>
      <c r="M49" s="55" t="s">
        <v>43</v>
      </c>
      <c r="N49" s="60">
        <f>IF(N46="","対象外",IF(N47="個人",IF(N48=$U$17,$V$17,IF(N48=$U$18,$V$18,"対象外")),IF(N48="対象外","対象外",IF(#REF!=$T$19,IF(N48=$U$19,$V$19,$V$20),IF(#REF!=$T$21,IF(N48=$U$21,$V$21,$V$22),IF(#REF!=$T$23,IF(N48=$U$23,$V$23,$V$24)))))))</f>
        <v>300000</v>
      </c>
      <c r="O49" s="60" t="str">
        <f>IF(O46="","対象外",IF(O47="個人",IF(O48=$U$17,$V$17,IF(O48=$U$18,$V$18,"対象外")),IF(O48="対象外","対象外",IF(#REF!=$T$19,IF(O48=$U$19,$V$19,$V$20),IF(#REF!=$T$21,IF(O48=$U$21,$V$21,$V$22),IF(#REF!=$T$23,IF(O48=$U$23,$V$23,$V$24)))))))</f>
        <v>対象外</v>
      </c>
      <c r="P49" s="60" t="str">
        <f>IF(P46="","対象外",IF(P47="個人",IF(P48=$U$17,$V$17,IF(P48=$U$18,$V$18,"対象外")),IF(P48="対象外","対象外",IF(#REF!=$T$19,IF(P48=$U$19,$V$19,$V$20),IF(#REF!=$T$21,IF(P48=$U$21,$V$21,$V$22),IF(#REF!=$T$23,IF(P48=$U$23,$V$23,$V$24)))))))</f>
        <v>対象外</v>
      </c>
      <c r="Q49" s="60" t="str">
        <f>IF(Q46="","対象外",IF(Q47="個人",IF(Q48=$U$17,$V$17,IF(Q48=$U$18,$V$18,"対象外")),IF(Q48="対象外","対象外",IF(#REF!=$T$19,IF(Q48=$U$19,$V$19,$V$20),IF(#REF!=$T$21,IF(Q48=$U$21,$V$21,$V$22),IF(#REF!=$T$23,IF(Q48=$U$23,$V$23,$V$24)))))))</f>
        <v>対象外</v>
      </c>
      <c r="R49" s="60" t="str">
        <f>IF(R46="","対象外",IF(R47="個人",IF(R48=$U$17,$V$17,IF(R48=$U$18,$V$18,"対象外")),IF(R48="対象外","対象外",IF(#REF!=$T$19,IF(R48=$U$19,$V$19,$V$20),IF(#REF!=$T$21,IF(R48=$U$21,$V$21,$V$22),IF(#REF!=$T$23,IF(R48=$U$23,$V$23,$V$24)))))))</f>
        <v>対象外</v>
      </c>
    </row>
    <row r="50" spans="2:81" ht="18" customHeight="1" thickBot="1" x14ac:dyDescent="0.45">
      <c r="B50" s="4"/>
      <c r="C50" s="4"/>
      <c r="D50" s="4"/>
      <c r="E50" s="4"/>
      <c r="F50" s="4"/>
      <c r="G50" s="4"/>
      <c r="H50" s="4"/>
      <c r="I50" s="4"/>
      <c r="J50" s="4"/>
      <c r="K50" s="4"/>
    </row>
    <row r="51" spans="2:81" ht="18" customHeight="1" thickTop="1" thickBot="1" x14ac:dyDescent="0.45">
      <c r="B51" s="4"/>
      <c r="C51" s="10" t="s">
        <v>115</v>
      </c>
      <c r="D51" s="11"/>
      <c r="E51" s="11"/>
      <c r="F51" s="11"/>
      <c r="G51" s="11"/>
      <c r="H51" s="98"/>
      <c r="I51" s="4"/>
      <c r="J51" s="4"/>
      <c r="K51" s="4"/>
      <c r="M51" s="113" t="s">
        <v>120</v>
      </c>
      <c r="N51" s="113"/>
      <c r="O51" s="113"/>
      <c r="P51" s="113"/>
      <c r="Q51" s="113"/>
      <c r="R51" s="113"/>
    </row>
    <row r="52" spans="2:81" ht="18" customHeight="1" thickTop="1" x14ac:dyDescent="0.4">
      <c r="B52" s="4"/>
      <c r="C52" s="13" t="s">
        <v>20</v>
      </c>
      <c r="D52" s="4"/>
      <c r="E52" s="4"/>
      <c r="F52" s="4"/>
      <c r="G52" s="4"/>
      <c r="H52" s="4"/>
      <c r="I52" s="4"/>
      <c r="J52" s="4"/>
      <c r="K52" s="4"/>
      <c r="M52" s="100"/>
      <c r="N52" s="100" t="s">
        <v>33</v>
      </c>
      <c r="O52" s="100" t="s">
        <v>34</v>
      </c>
      <c r="P52" s="100" t="s">
        <v>35</v>
      </c>
      <c r="Q52" s="100" t="s">
        <v>36</v>
      </c>
      <c r="R52" s="100" t="s">
        <v>37</v>
      </c>
      <c r="T52" s="113" t="s">
        <v>60</v>
      </c>
      <c r="U52" s="113"/>
      <c r="V52" s="113"/>
      <c r="W52" s="113"/>
      <c r="X52" s="113"/>
      <c r="Y52" s="113"/>
      <c r="Z52" s="113"/>
    </row>
    <row r="53" spans="2:81" ht="18" customHeight="1" thickBot="1" x14ac:dyDescent="0.45">
      <c r="B53" s="4"/>
      <c r="C53" s="13" t="s">
        <v>21</v>
      </c>
      <c r="D53" s="4"/>
      <c r="E53" s="4"/>
      <c r="F53" s="4"/>
      <c r="G53" s="4"/>
      <c r="H53" s="4"/>
      <c r="I53" s="4"/>
      <c r="J53" s="4"/>
      <c r="K53" s="4"/>
      <c r="M53" s="1" t="s">
        <v>50</v>
      </c>
      <c r="N53" s="33" t="str">
        <f>IF(COUNTIF($G$39,"&gt;="&amp;30)&gt;=1,"対象","対象外")</f>
        <v>対象</v>
      </c>
      <c r="O53" s="33" t="str">
        <f>IF(COUNTIF($G$40,"&gt;="&amp;30)&gt;=1,"対象","対象外")</f>
        <v>対象外</v>
      </c>
      <c r="P53" s="33" t="str">
        <f>IF(COUNTIF($G$41,"&gt;="&amp;30)&gt;=1,"対象","対象外")</f>
        <v>対象外</v>
      </c>
      <c r="Q53" s="33" t="str">
        <f>IF(COUNTIF($G$42,"&gt;="&amp;30)&gt;=1,"対象","対象外")</f>
        <v>対象外</v>
      </c>
      <c r="R53" s="33" t="str">
        <f>IF(COUNTIF($G$43,"&gt;="&amp;30)&gt;=1,"対象","対象外")</f>
        <v>対象外</v>
      </c>
      <c r="U53" s="17">
        <f>IF($G$44="対象",$G$36,"")</f>
        <v>1000000</v>
      </c>
      <c r="V53" s="17">
        <f>IF($G$44="対象",$G$36,"")</f>
        <v>1000000</v>
      </c>
      <c r="W53" s="17">
        <f>IF($G$44="対象",$G$36,"")</f>
        <v>1000000</v>
      </c>
      <c r="X53" s="17">
        <f>IF($G$44="対象",$G$36,"")</f>
        <v>1000000</v>
      </c>
      <c r="Y53" s="17">
        <f>IF($G$44="対象",$G$36,"")</f>
        <v>1000000</v>
      </c>
      <c r="Z53" s="1">
        <f>IF(G28="入力",COUNTIF(U56:Y56,"対象外"),0)</f>
        <v>0</v>
      </c>
    </row>
    <row r="54" spans="2:81" ht="18" customHeight="1" thickTop="1" thickBot="1" x14ac:dyDescent="0.45">
      <c r="B54" s="4"/>
      <c r="C54" s="13" t="s">
        <v>19</v>
      </c>
      <c r="D54" s="4"/>
      <c r="E54" s="4"/>
      <c r="F54" s="4"/>
      <c r="G54" s="4"/>
      <c r="H54" s="4"/>
      <c r="I54" s="4"/>
      <c r="J54" s="4"/>
      <c r="K54" s="4"/>
      <c r="M54" s="58" t="s">
        <v>14</v>
      </c>
      <c r="N54" s="63">
        <f>IFERROR(IF(N64="対象外",0,IF(N60*2+N58*3-N56*5&gt;0,IF(N64&gt;=N60*2+N58*3-N56*5,N60*2+N58*3-N56*5,N64),"＊＊＊＊＊")),"")</f>
        <v>150000</v>
      </c>
      <c r="O54" s="63">
        <f>IFERROR(IF(O64="対象外",0,IF(O60*2+O58*3-O56*5&gt;0,IF(O64&gt;=O60*2+O58*3-O56*5,O60*2+O58*3-O56*5,O64),"＊＊＊＊＊")),"")</f>
        <v>0</v>
      </c>
      <c r="P54" s="63">
        <f>IFERROR(IF(P64="対象外",0,IF(P60*2+P58*3-P56*5&gt;0,IF(P64&gt;=P60*2+P58*3-P56*5,P60*2+P58*3-P56*5,P64),"＊＊＊＊＊")),"")</f>
        <v>0</v>
      </c>
      <c r="Q54" s="63">
        <f>IFERROR(IF(Q64="対象外",0,IF(Q60*2+Q58*3-Q56*5&gt;0,IF(Q64&gt;=Q60*2+Q58*3-Q56*5,Q60*2+Q58*3-Q56*5,Q64),"＊＊＊＊＊")),"")</f>
        <v>0</v>
      </c>
      <c r="R54" s="63">
        <f>IFERROR(IF(R64="対象外",0,IF(R60*2+R58*3-R56*5&gt;0,IF(R64&gt;=R60*2+R58*3-R56*5,R60*2+R58*3-R56*5,R64),"＊＊＊＊＊")),"")</f>
        <v>0</v>
      </c>
      <c r="T54" s="1" t="s">
        <v>38</v>
      </c>
      <c r="U54" s="38">
        <f>IFERROR(HLOOKUP($D$30,$D$30:$D$35,U57+1,0),"")</f>
        <v>50000</v>
      </c>
      <c r="V54" s="38">
        <f>IFERROR(HLOOKUP($D$30,$D$30:$D$35,V57+1,0),"")</f>
        <v>60000</v>
      </c>
      <c r="W54" s="38">
        <f>IFERROR(HLOOKUP($D$30,$D$30:$D$35,W57+1,0),"")</f>
        <v>70000</v>
      </c>
      <c r="X54" s="38">
        <f>IFERROR(HLOOKUP($D$30,$D$30:$D$35,X57+1,0),"")</f>
        <v>80000</v>
      </c>
      <c r="Y54" s="38">
        <f>IFERROR(HLOOKUP($D$30,$D$30:$D$35,Y57+1,0),"")</f>
        <v>90000</v>
      </c>
      <c r="CC54" s="1" t="s">
        <v>66</v>
      </c>
    </row>
    <row r="55" spans="2:81" ht="18" customHeight="1" thickTop="1" x14ac:dyDescent="0.4">
      <c r="B55" s="4"/>
      <c r="C55" s="13"/>
      <c r="D55" s="4"/>
      <c r="E55" s="42" t="str">
        <f>IF(MAX($E$57:$G$57)=E$57,"最適","")</f>
        <v/>
      </c>
      <c r="F55" s="42" t="str">
        <f>IF(MAX($E$57:$G$57)=F$57,"最適","")</f>
        <v>最適</v>
      </c>
      <c r="G55" s="42" t="str">
        <f>IF(MAX($E$57:$G$57)=G$57,"最適","")</f>
        <v/>
      </c>
      <c r="H55" s="4"/>
      <c r="I55" s="4"/>
      <c r="J55" s="4"/>
      <c r="K55" s="4"/>
      <c r="M55" s="57" t="s">
        <v>3</v>
      </c>
      <c r="N55" s="57" t="str">
        <f>IFERROR(IF(OR(HLOOKUP("売上高",$C$29:$C$35,U33+2,0)="11月",HLOOKUP("売上高",$C$29:$C$35,U33+2,0)="12月"),"2021年"&amp;HLOOKUP("売上高",$C$29:$C$35,U33+2,0),"2022年"&amp;HLOOKUP("売上高",$C$29:$C$35,U33+2,0)),"")</f>
        <v>2021年11月</v>
      </c>
      <c r="O55" s="57" t="str">
        <f>IFERROR(IF(OR(HLOOKUP("売上高",$C$29:$C$35,V33+2,0)="11月",HLOOKUP("売上高",$C$29:$C$35,V33+2,0)="12月"),"2021年"&amp;HLOOKUP("売上高",$C$29:$C$35,V33+2,0),"2022年"&amp;HLOOKUP("売上高",$C$29:$C$35,V33+2,0)),"")</f>
        <v>2021年12月</v>
      </c>
      <c r="P55" s="57" t="str">
        <f>IFERROR(IF(OR(HLOOKUP("売上高",$C$29:$C$35,W33+2,0)="11月",HLOOKUP("売上高",$C$29:$C$35,W33+2,0)="12月"),"2021年"&amp;HLOOKUP("売上高",$C$29:$C$35,W33+2,0),"2022年"&amp;HLOOKUP("売上高",$C$29:$C$35,W33+2,0)),"")</f>
        <v>2022年1月</v>
      </c>
      <c r="Q55" s="57" t="str">
        <f>IFERROR(IF(OR(HLOOKUP("売上高",$C$29:$C$35,X33+2,0)="11月",HLOOKUP("売上高",$C$29:$C$35,X33+2,0)="12月"),"2021年"&amp;HLOOKUP("売上高",$C$29:$C$35,X33+2,0),"2022年"&amp;HLOOKUP("売上高",$C$29:$C$35,X33+2,0)),"")</f>
        <v>2022年2月</v>
      </c>
      <c r="R55" s="57" t="str">
        <f>IFERROR(IF(OR(HLOOKUP("売上高",$C$29:$C$35,Y33+2,0)="11月",HLOOKUP("売上高",$C$29:$C$35,Y33+2,0)="12月"),"2021年"&amp;HLOOKUP("売上高",$C$29:$C$35,Y33+2,0),"2022年"&amp;HLOOKUP("売上高",$C$29:$C$35,Y33+2,0)),"")</f>
        <v>2022年3月</v>
      </c>
      <c r="V55" s="49"/>
      <c r="W55" s="49"/>
      <c r="X55" s="49"/>
      <c r="Y55" s="49"/>
    </row>
    <row r="56" spans="2:81" ht="18" customHeight="1" x14ac:dyDescent="0.4">
      <c r="B56" s="4"/>
      <c r="C56" s="26" t="s">
        <v>41</v>
      </c>
      <c r="D56" s="26" t="str">
        <f>D30</f>
        <v>2021年-2022年</v>
      </c>
      <c r="E56" s="26" t="str">
        <f>E30</f>
        <v>2021年度</v>
      </c>
      <c r="F56" s="26" t="str">
        <f>F30</f>
        <v>2020年度</v>
      </c>
      <c r="G56" s="26" t="str">
        <f>G30</f>
        <v>2019年度</v>
      </c>
      <c r="H56" s="4"/>
      <c r="I56" s="4"/>
      <c r="J56" s="4"/>
      <c r="K56" s="4"/>
      <c r="M56" s="55" t="s">
        <v>42</v>
      </c>
      <c r="N56" s="59">
        <f>IFERROR(IF(HLOOKUP($D$30,$D$30:$D$35,U57+1,0)="","",HLOOKUP($D$30,$D$30:$D$35,U57+1,0)),"")</f>
        <v>50000</v>
      </c>
      <c r="O56" s="59">
        <f>IFERROR(IF(HLOOKUP($D$30,$D$30:$D$35,V57+1,0)="","",HLOOKUP($D$30,$D$30:$D$35,V57+1,0)),"")</f>
        <v>60000</v>
      </c>
      <c r="P56" s="59">
        <f>IFERROR(IF(HLOOKUP($D$30,$D$30:$D$35,W57+1,0)="","",HLOOKUP($D$30,$D$30:$D$35,W57+1,0)),"")</f>
        <v>70000</v>
      </c>
      <c r="Q56" s="59">
        <f>IFERROR(IF(HLOOKUP($D$30,$D$30:$D$35,X57+1,0)="","",HLOOKUP($D$30,$D$30:$D$35,X57+1,0)),"")</f>
        <v>80000</v>
      </c>
      <c r="R56" s="59">
        <f>IFERROR(IF(HLOOKUP($D$30,$D$30:$D$35,Y57+1,0)="","",HLOOKUP($D$30,$D$30:$D$35,Y57+1,0)),"")</f>
        <v>90000</v>
      </c>
      <c r="T56" s="1" t="s">
        <v>40</v>
      </c>
      <c r="U56" s="32" t="str">
        <f>IF(COUNTA(G31)=1,IF(G39&gt;=30,G39,"対象外"),"未入力")</f>
        <v>未入力</v>
      </c>
      <c r="V56" s="32" t="str">
        <f>IF(COUNTA(G32)=1,IF(G40&gt;=30,G40,"対象外"),"未入力")</f>
        <v>未入力</v>
      </c>
      <c r="W56" s="32" t="str">
        <f>IF(COUNTA(G33)=1,IF(G41&gt;=30,G41,"対象外"),"未入力")</f>
        <v>未入力</v>
      </c>
      <c r="X56" s="32" t="str">
        <f>IF(COUNTA(G34)=1,IF(G42&gt;=30,G42,"対象外"),"未入力")</f>
        <v>未入力</v>
      </c>
      <c r="Y56" s="32" t="str">
        <f>IF(COUNTA(G35)=1,IF(G43&gt;=30,G43,"対象外"),"未入力")</f>
        <v>未入力</v>
      </c>
    </row>
    <row r="57" spans="2:81" ht="18" customHeight="1" x14ac:dyDescent="0.4">
      <c r="B57" s="4"/>
      <c r="C57" s="27" t="s">
        <v>53</v>
      </c>
      <c r="D57" s="92"/>
      <c r="E57" s="50">
        <f>IF(MAX(N24:R24)&gt;0,MAX(N24:R24),IF(COUNTIF($N$24:$R$24,"*****")&gt;=1,"マイナスのため計算不可",""))</f>
        <v>141666.66666666663</v>
      </c>
      <c r="F57" s="50">
        <f>IF(MAX(N39:R39)&gt;0,MAX(N39:R39),IF(COUNTIF($N$39:$R$39,"*****")&gt;=1,"マイナスのため計算不可",""))</f>
        <v>166666.66666666663</v>
      </c>
      <c r="G57" s="50">
        <f>IF(MAX(N54:R54)&gt;0,MAX(N54:R54),IF(COUNTIF($N$54:$R$54,"*****")&gt;=1,"マイナスのため計算不可",""))</f>
        <v>150000</v>
      </c>
      <c r="H57" s="124" t="str">
        <f>IF(COUNTA(D31:D35)=5,"",IF(X10="","",X10&amp;CHAR(10))&amp;IF(X11="","",X11&amp;CHAR(10))&amp;IF(X12="","",X12&amp;CHAR(10))&amp;IF(X13="","",X13&amp;CHAR(10))&amp;IF(X14="","",X14))</f>
        <v/>
      </c>
      <c r="I57" s="134"/>
      <c r="J57" s="134"/>
      <c r="K57" s="134"/>
      <c r="M57" s="55" t="s">
        <v>2</v>
      </c>
      <c r="N57" s="55" t="str">
        <f>$M$51</f>
        <v>2019年度</v>
      </c>
      <c r="O57" s="55" t="str">
        <f>$M$51</f>
        <v>2019年度</v>
      </c>
      <c r="P57" s="55" t="str">
        <f>$M$51</f>
        <v>2019年度</v>
      </c>
      <c r="Q57" s="55" t="str">
        <f>$M$51</f>
        <v>2019年度</v>
      </c>
      <c r="R57" s="55" t="str">
        <f>$M$51</f>
        <v>2019年度</v>
      </c>
      <c r="T57" s="1" t="s">
        <v>44</v>
      </c>
      <c r="U57" s="1">
        <v>1</v>
      </c>
      <c r="V57" s="1">
        <v>2</v>
      </c>
      <c r="W57" s="1">
        <v>3</v>
      </c>
      <c r="X57" s="1">
        <v>4</v>
      </c>
      <c r="Y57" s="1">
        <v>5</v>
      </c>
    </row>
    <row r="58" spans="2:81" ht="18" customHeight="1" x14ac:dyDescent="0.4">
      <c r="B58" s="4"/>
      <c r="C58" s="43" t="s">
        <v>114</v>
      </c>
      <c r="D58" s="93"/>
      <c r="E58" s="43" t="str">
        <f>IFERROR(IF(E57="","","2020年11月～2021年3月"),"err")</f>
        <v>2020年11月～2021年3月</v>
      </c>
      <c r="F58" s="43" t="str">
        <f>IFERROR(IF(F57="","","2019年11月～2020年3月"),"err")</f>
        <v>2019年11月～2020年3月</v>
      </c>
      <c r="G58" s="43" t="str">
        <f>IFERROR(IF(G57="","","2018年11月～2019年3月"),"err")</f>
        <v>2018年11月～2019年3月</v>
      </c>
      <c r="H58" s="124"/>
      <c r="I58" s="134"/>
      <c r="J58" s="134"/>
      <c r="K58" s="134"/>
      <c r="M58" s="55" t="s">
        <v>42</v>
      </c>
      <c r="N58" s="59">
        <f>$G$36/12</f>
        <v>83333.333333333328</v>
      </c>
      <c r="O58" s="59">
        <f>$G$36/12</f>
        <v>83333.333333333328</v>
      </c>
      <c r="P58" s="59">
        <f>$G$36/12</f>
        <v>83333.333333333328</v>
      </c>
      <c r="Q58" s="59">
        <f>$G$36/12</f>
        <v>83333.333333333328</v>
      </c>
      <c r="R58" s="59">
        <f>$G$36/12</f>
        <v>83333.333333333328</v>
      </c>
    </row>
    <row r="59" spans="2:81" ht="18" customHeight="1" x14ac:dyDescent="0.4">
      <c r="B59" s="4"/>
      <c r="C59" s="97" t="s">
        <v>3</v>
      </c>
      <c r="D59" s="92"/>
      <c r="E59" s="44" t="str">
        <f>IFERROR(IF(E57="","",HLOOKUP(E$57,$N$24:$R$31,2,0)),"err")</f>
        <v>2021年11月</v>
      </c>
      <c r="F59" s="44" t="str">
        <f>IFERROR(IF(F57="","",HLOOKUP(F$57,$N$39:$R$46,2,0)),"err")</f>
        <v>2021年11月</v>
      </c>
      <c r="G59" s="44" t="str">
        <f>IFERROR(IF(G57="","",HLOOKUP(G$57,$N$54:$R$61,2,0)),"err")</f>
        <v>2021年11月</v>
      </c>
      <c r="H59" s="124"/>
      <c r="I59" s="134"/>
      <c r="J59" s="134"/>
      <c r="K59" s="134"/>
      <c r="M59" s="55" t="s">
        <v>2</v>
      </c>
      <c r="N59" s="55" t="str">
        <f>$H$30</f>
        <v>2018年度</v>
      </c>
      <c r="O59" s="55" t="str">
        <f>$H$30</f>
        <v>2018年度</v>
      </c>
      <c r="P59" s="55" t="str">
        <f>$H$30</f>
        <v>2018年度</v>
      </c>
      <c r="Q59" s="55" t="str">
        <f>$H$30</f>
        <v>2018年度</v>
      </c>
      <c r="R59" s="55" t="str">
        <f>$H$30</f>
        <v>2018年度</v>
      </c>
    </row>
    <row r="60" spans="2:81" ht="18" customHeight="1" x14ac:dyDescent="0.4">
      <c r="B60" s="4"/>
      <c r="C60" s="27" t="s">
        <v>146</v>
      </c>
      <c r="D60" s="92"/>
      <c r="E60" s="44">
        <f>IFERROR(IF(E57="","",HLOOKUP(E$57,$N$24:$R$31,3,0)),"err")</f>
        <v>50000</v>
      </c>
      <c r="F60" s="44">
        <f>IFERROR(IF(F57="","",HLOOKUP(F$57,$N$39:$R$46,3,0)),"err")</f>
        <v>50000</v>
      </c>
      <c r="G60" s="44">
        <f>IFERROR(IF(G57="","",HLOOKUP(G$57,$N$54:$R$61,3,0)),"err")</f>
        <v>50000</v>
      </c>
      <c r="H60" s="124"/>
      <c r="I60" s="134"/>
      <c r="J60" s="134"/>
      <c r="K60" s="134"/>
      <c r="M60" s="55" t="s">
        <v>42</v>
      </c>
      <c r="N60" s="59">
        <f>$H$36/12</f>
        <v>75000</v>
      </c>
      <c r="O60" s="59">
        <f>$H$36/12</f>
        <v>75000</v>
      </c>
      <c r="P60" s="59">
        <f>$H$36/12</f>
        <v>75000</v>
      </c>
      <c r="Q60" s="59">
        <f>$H$36/12</f>
        <v>75000</v>
      </c>
      <c r="R60" s="59">
        <f>$H$36/12</f>
        <v>75000</v>
      </c>
    </row>
    <row r="61" spans="2:81" ht="18" customHeight="1" x14ac:dyDescent="0.4">
      <c r="B61" s="4"/>
      <c r="C61" s="68" t="s">
        <v>126</v>
      </c>
      <c r="D61" s="93"/>
      <c r="E61" s="44" t="str">
        <f>IF(E57="","","2020年度")</f>
        <v>2020年度</v>
      </c>
      <c r="F61" s="44" t="str">
        <f>IF(F57="","","2019年度")</f>
        <v>2019年度</v>
      </c>
      <c r="G61" s="44" t="str">
        <f>IF(G57="","","2018年度")</f>
        <v>2018年度</v>
      </c>
      <c r="H61" s="124"/>
      <c r="I61" s="134"/>
      <c r="J61" s="134"/>
      <c r="K61" s="134"/>
      <c r="M61" s="55" t="s">
        <v>40</v>
      </c>
      <c r="N61" s="56">
        <f>IFERROR(ROUNDDOWN((1-N56/N60)*100,0),"")</f>
        <v>33</v>
      </c>
      <c r="O61" s="56">
        <f>IFERROR(ROUNDDOWN((1-O56/O60)*100,0),"")</f>
        <v>20</v>
      </c>
      <c r="P61" s="56">
        <f>IFERROR(ROUNDDOWN((1-P56/P58)*100,0),"")</f>
        <v>16</v>
      </c>
      <c r="Q61" s="56">
        <f>IFERROR(ROUNDDOWN((1-Q56/Q58)*100,0),"")</f>
        <v>3</v>
      </c>
      <c r="R61" s="56">
        <f>IFERROR(ROUNDDOWN((1-R56/R58)*100,0),"")</f>
        <v>-8</v>
      </c>
    </row>
    <row r="62" spans="2:81" ht="18" customHeight="1" x14ac:dyDescent="0.4">
      <c r="B62" s="4"/>
      <c r="C62" s="27" t="s">
        <v>127</v>
      </c>
      <c r="D62" s="93"/>
      <c r="E62" s="44">
        <f>IF(E57="","",F36)</f>
        <v>1000000</v>
      </c>
      <c r="F62" s="44">
        <f>IF(F57="","",G36)</f>
        <v>1000000</v>
      </c>
      <c r="G62" s="44">
        <f>IF(G57="","",H36)</f>
        <v>900000</v>
      </c>
      <c r="H62" s="124"/>
      <c r="I62" s="134"/>
      <c r="J62" s="134"/>
      <c r="K62" s="134"/>
      <c r="M62" s="55" t="s">
        <v>24</v>
      </c>
      <c r="N62" s="55" t="str">
        <f>IF(判定_個人白色!$T$12=1,"法人","個人")</f>
        <v>個人</v>
      </c>
      <c r="O62" s="55" t="str">
        <f>IF(判定_個人白色!$T$12=1,"法人","個人")</f>
        <v>個人</v>
      </c>
      <c r="P62" s="55" t="str">
        <f>IF(判定_個人白色!$T$12=1,"法人","個人")</f>
        <v>個人</v>
      </c>
      <c r="Q62" s="55" t="str">
        <f>IF(判定_個人白色!$T$12=1,"法人","個人")</f>
        <v>個人</v>
      </c>
      <c r="R62" s="55" t="str">
        <f>IF(判定_個人白色!$T$12=1,"法人","個人")</f>
        <v>個人</v>
      </c>
    </row>
    <row r="63" spans="2:81" ht="18" customHeight="1" x14ac:dyDescent="0.4">
      <c r="B63" s="4"/>
      <c r="C63" s="68" t="s">
        <v>129</v>
      </c>
      <c r="D63" s="93"/>
      <c r="E63" s="44" t="str">
        <f>IF(E57="","","2021年度")</f>
        <v>2021年度</v>
      </c>
      <c r="F63" s="45" t="str">
        <f>IF(F57="","","2020年度")</f>
        <v>2020年度</v>
      </c>
      <c r="G63" s="44" t="str">
        <f>IF(G57="","","2019年度")</f>
        <v>2019年度</v>
      </c>
      <c r="H63" s="124"/>
      <c r="I63" s="134"/>
      <c r="J63" s="134"/>
      <c r="K63" s="134"/>
      <c r="M63" s="55" t="s">
        <v>25</v>
      </c>
      <c r="N63" s="55" t="str">
        <f>IF(N61&gt;=50,"50%以上",IF(N61&lt;30,"対象外","30%～50%未満"))</f>
        <v>30%～50%未満</v>
      </c>
      <c r="O63" s="55" t="str">
        <f>IF(O61&gt;=50,"50%以上",IF(O61&lt;30,"対象外","30%～50%未満"))</f>
        <v>対象外</v>
      </c>
      <c r="P63" s="55" t="str">
        <f>IF(P61&gt;=50,"50%以上",IF(P61&lt;30,"対象外","30%～50%未満"))</f>
        <v>対象外</v>
      </c>
      <c r="Q63" s="55" t="str">
        <f>IF(Q61&gt;=50,"50%以上",IF(Q61&lt;30,"対象外","30%～50%未満"))</f>
        <v>対象外</v>
      </c>
      <c r="R63" s="55" t="str">
        <f>IF(R61&gt;=50,"50%以上",IF(R61&lt;30,"対象外","30%～50%未満"))</f>
        <v>対象外</v>
      </c>
    </row>
    <row r="64" spans="2:81" ht="18" customHeight="1" x14ac:dyDescent="0.4">
      <c r="B64" s="31"/>
      <c r="C64" s="27" t="s">
        <v>128</v>
      </c>
      <c r="D64" s="93"/>
      <c r="E64" s="44">
        <f>IF(E57="","",E36)</f>
        <v>900000</v>
      </c>
      <c r="F64" s="44">
        <f>IF(F57="","",F36)</f>
        <v>1000000</v>
      </c>
      <c r="G64" s="44">
        <f>IF(G57="","",G36)</f>
        <v>1000000</v>
      </c>
      <c r="H64" s="124"/>
      <c r="I64" s="134"/>
      <c r="J64" s="134"/>
      <c r="K64" s="134"/>
      <c r="M64" s="55" t="s">
        <v>43</v>
      </c>
      <c r="N64" s="60">
        <f>IF(N61="","対象外",IF(N62="個人",IF(N63=$U$17,$V$17,IF(N63=$U$18,$V$18,"対象外")),IF(N63="対象外","対象外",IF(#REF!=$T$19,IF(N63=$U$19,$V$19,$V$20),IF(#REF!=$T$21,IF(N63=$U$21,$V$21,$V$22),IF(#REF!=$T$23,IF(N63=$U$23,$V$23,$V$24)))))))</f>
        <v>300000</v>
      </c>
      <c r="O64" s="60" t="str">
        <f>IF(O61="","対象外",IF(O62="個人",IF(O63=$U$17,$V$17,IF(O63=$U$18,$V$18,"対象外")),IF(O63="対象外","対象外",IF(#REF!=$T$19,IF(O63=$U$19,$V$19,$V$20),IF(#REF!=$T$21,IF(O63=$U$21,$V$21,$V$22),IF(#REF!=$T$23,IF(O63=$U$23,$V$23,$V$24)))))))</f>
        <v>対象外</v>
      </c>
      <c r="P64" s="60" t="str">
        <f>IF(P61="","対象外",IF(P62="個人",IF(P63=$U$17,$V$17,IF(P63=$U$18,$V$18,"対象外")),IF(P63="対象外","対象外",IF(#REF!=$T$19,IF(P63=$U$19,$V$19,$V$20),IF(#REF!=$T$21,IF(P63=$U$21,$V$21,$V$22),IF(#REF!=$T$23,IF(P63=$U$23,$V$23,$V$24)))))))</f>
        <v>対象外</v>
      </c>
      <c r="Q64" s="60" t="str">
        <f>IF(Q61="","対象外",IF(Q62="個人",IF(Q63=$U$17,$V$17,IF(Q63=$U$18,$V$18,"対象外")),IF(Q63="対象外","対象外",IF(#REF!=$T$19,IF(Q63=$U$19,$V$19,$V$20),IF(#REF!=$T$21,IF(Q63=$U$21,$V$21,$V$22),IF(#REF!=$T$23,IF(Q63=$U$23,$V$23,$V$24)))))))</f>
        <v>対象外</v>
      </c>
      <c r="R64" s="60" t="str">
        <f>IF(R61="","対象外",IF(R62="個人",IF(R63=$U$17,$V$17,IF(R63=$U$18,$V$18,"対象外")),IF(R63="対象外","対象外",IF(#REF!=$T$19,IF(R63=$U$19,$V$19,$V$20),IF(#REF!=$T$21,IF(R63=$U$21,$V$21,$V$22),IF(#REF!=$T$23,IF(R63=$U$23,$V$23,$V$24)))))))</f>
        <v>対象外</v>
      </c>
    </row>
    <row r="65" spans="2:80" ht="18" customHeight="1" x14ac:dyDescent="0.4">
      <c r="B65" s="31"/>
      <c r="C65" s="27" t="s">
        <v>145</v>
      </c>
      <c r="D65" s="93"/>
      <c r="E65" s="51">
        <f>IFERROR(IF(E57="","",HLOOKUP(E$57,$N$24:$R$31,8,0)),"err")</f>
        <v>40</v>
      </c>
      <c r="F65" s="45">
        <f>IFERROR(IF(F57="","",HLOOKUP(F$57,$N$39:$R$46,8,0)),"err")</f>
        <v>40</v>
      </c>
      <c r="G65" s="51">
        <f>IFERROR(IF(G57="","",HLOOKUP(G$57,$N$54:$R$61,8,0)),"err")</f>
        <v>33</v>
      </c>
      <c r="H65" s="124"/>
      <c r="I65" s="134"/>
      <c r="J65" s="134"/>
      <c r="K65" s="134"/>
    </row>
    <row r="66" spans="2:80" ht="18" customHeight="1" x14ac:dyDescent="0.4">
      <c r="B66" s="31"/>
      <c r="C66" s="31"/>
      <c r="D66" s="31"/>
      <c r="E66" s="31"/>
      <c r="F66" s="31"/>
      <c r="G66" s="31"/>
      <c r="H66" s="4"/>
      <c r="I66" s="31"/>
      <c r="J66" s="31"/>
      <c r="K66" s="31"/>
    </row>
    <row r="67" spans="2:80" ht="18" customHeight="1" x14ac:dyDescent="0.4">
      <c r="B67" s="31"/>
      <c r="C67" s="31"/>
      <c r="D67" s="31"/>
      <c r="E67" s="31"/>
      <c r="F67" s="31"/>
      <c r="G67" s="31"/>
      <c r="H67" s="31"/>
      <c r="I67" s="31"/>
      <c r="J67" s="31"/>
      <c r="K67" s="31"/>
      <c r="T67" s="113" t="s">
        <v>60</v>
      </c>
      <c r="U67" s="113"/>
      <c r="V67" s="113"/>
      <c r="W67" s="113"/>
      <c r="X67" s="113"/>
      <c r="Y67" s="113"/>
      <c r="Z67" s="113"/>
    </row>
    <row r="68" spans="2:80" x14ac:dyDescent="0.4">
      <c r="B68" s="31"/>
      <c r="C68" s="31"/>
      <c r="D68" s="31"/>
      <c r="E68" s="31"/>
      <c r="F68" s="31"/>
      <c r="G68" s="31"/>
      <c r="H68" s="31"/>
      <c r="I68" s="31"/>
      <c r="J68" s="31"/>
      <c r="K68" s="31"/>
      <c r="U68" s="17">
        <f>IF($G$44="対象",$G$36,"")</f>
        <v>1000000</v>
      </c>
      <c r="V68" s="17">
        <f>IF($G$44="対象",$G$36,"")</f>
        <v>1000000</v>
      </c>
      <c r="W68" s="17">
        <f>IF($G$44="対象",$G$36,"")</f>
        <v>1000000</v>
      </c>
      <c r="X68" s="17">
        <f>IF($G$44="対象",$G$36,"")</f>
        <v>1000000</v>
      </c>
      <c r="Y68" s="17">
        <f>IF($G$44="対象",$G$36,"")</f>
        <v>1000000</v>
      </c>
      <c r="Z68" s="1">
        <f>IF(G43="入力",COUNTIF(U71:Y71,"対象外"),0)</f>
        <v>0</v>
      </c>
    </row>
    <row r="69" spans="2:80" x14ac:dyDescent="0.4">
      <c r="B69" s="31"/>
      <c r="C69" s="31"/>
      <c r="D69" s="31"/>
      <c r="E69" s="31"/>
      <c r="F69" s="31"/>
      <c r="G69" s="31"/>
      <c r="H69" s="31"/>
      <c r="I69" s="31"/>
      <c r="J69" s="31"/>
      <c r="K69" s="31"/>
      <c r="T69" s="1" t="s">
        <v>38</v>
      </c>
      <c r="U69" s="38">
        <f>IFERROR(HLOOKUP($D$30,$D$30:$D$35,U72+1,0),"")</f>
        <v>50000</v>
      </c>
      <c r="V69" s="38">
        <f>IFERROR(HLOOKUP($D$30,$D$30:$D$35,V72+1,0),"")</f>
        <v>60000</v>
      </c>
      <c r="W69" s="38">
        <f>IFERROR(HLOOKUP($D$30,$D$30:$D$35,W72+1,0),"")</f>
        <v>70000</v>
      </c>
      <c r="X69" s="38">
        <f>IFERROR(HLOOKUP($D$30,$D$30:$D$35,X72+1,0),"")</f>
        <v>80000</v>
      </c>
      <c r="Y69" s="38">
        <f>IFERROR(HLOOKUP($D$30,$D$30:$D$35,Y72+1,0),"")</f>
        <v>90000</v>
      </c>
    </row>
    <row r="70" spans="2:80" x14ac:dyDescent="0.4">
      <c r="B70" s="31"/>
      <c r="C70" s="31"/>
      <c r="D70" s="31"/>
      <c r="E70" s="31"/>
      <c r="F70" s="31"/>
      <c r="G70" s="31"/>
      <c r="H70" s="31"/>
      <c r="I70" s="31"/>
      <c r="J70" s="31"/>
      <c r="K70" s="31"/>
      <c r="V70" s="49"/>
      <c r="W70" s="49"/>
      <c r="X70" s="49"/>
      <c r="Y70" s="49"/>
    </row>
    <row r="71" spans="2:80" x14ac:dyDescent="0.4">
      <c r="B71" s="31"/>
      <c r="C71" s="31"/>
      <c r="D71" s="31"/>
      <c r="E71" s="31"/>
      <c r="F71" s="31"/>
      <c r="G71" s="31"/>
      <c r="H71" s="31"/>
      <c r="I71" s="31"/>
      <c r="J71" s="31"/>
      <c r="K71" s="31"/>
      <c r="T71" s="1" t="s">
        <v>40</v>
      </c>
      <c r="U71" s="32" t="str">
        <f>IF(COUNTA(G46)=1,IF(G54&gt;=30,G54,"対象外"),"未入力")</f>
        <v>未入力</v>
      </c>
      <c r="V71" s="32" t="str">
        <f>IF(COUNTA(G47)=1,IF(G55&gt;=30,G55,"対象外"),"未入力")</f>
        <v>未入力</v>
      </c>
      <c r="W71" s="32" t="str">
        <f>IF(COUNTA(G48)=1,IF(G56&gt;=30,G56,"対象外"),"未入力")</f>
        <v>未入力</v>
      </c>
      <c r="X71" s="32" t="str">
        <f>IF(COUNTA(G49)=1,IF(G57&gt;=30,G57,"対象外"),"未入力")</f>
        <v>未入力</v>
      </c>
      <c r="Y71" s="32" t="str">
        <f>IF(COUNTA(G50)=1,IF(G58&gt;=30,G58,"対象外"),"未入力")</f>
        <v>未入力</v>
      </c>
    </row>
    <row r="72" spans="2:80" x14ac:dyDescent="0.4">
      <c r="B72" s="31"/>
      <c r="C72" s="31"/>
      <c r="D72" s="31"/>
      <c r="E72" s="31"/>
      <c r="F72" s="31"/>
      <c r="G72" s="31"/>
      <c r="H72" s="31"/>
      <c r="I72" s="31"/>
      <c r="J72" s="31"/>
      <c r="K72" s="31"/>
      <c r="T72" s="1" t="s">
        <v>44</v>
      </c>
      <c r="U72" s="1">
        <v>1</v>
      </c>
      <c r="V72" s="1">
        <v>2</v>
      </c>
      <c r="W72" s="1">
        <v>3</v>
      </c>
      <c r="X72" s="1">
        <v>4</v>
      </c>
      <c r="Y72" s="1">
        <v>5</v>
      </c>
    </row>
    <row r="73" spans="2:80" x14ac:dyDescent="0.4">
      <c r="B73" s="31"/>
      <c r="C73" s="31"/>
      <c r="D73" s="31"/>
      <c r="E73" s="31"/>
      <c r="F73" s="31"/>
      <c r="G73" s="31"/>
      <c r="H73" s="31"/>
      <c r="I73" s="31"/>
      <c r="J73" s="31"/>
      <c r="K73" s="31"/>
    </row>
    <row r="74" spans="2:80" x14ac:dyDescent="0.4">
      <c r="B74" s="31"/>
      <c r="C74" s="31"/>
      <c r="D74" s="31"/>
      <c r="E74" s="31"/>
      <c r="F74" s="31"/>
      <c r="G74" s="31"/>
      <c r="H74" s="31"/>
      <c r="I74" s="31"/>
      <c r="J74" s="31"/>
      <c r="K74" s="31"/>
    </row>
    <row r="75" spans="2:80" x14ac:dyDescent="0.4">
      <c r="B75" s="31"/>
      <c r="C75" s="31"/>
      <c r="D75" s="31"/>
      <c r="E75" s="31"/>
      <c r="F75" s="31"/>
      <c r="G75" s="31"/>
      <c r="H75" s="31"/>
      <c r="I75" s="31"/>
      <c r="J75" s="31"/>
      <c r="K75" s="31"/>
    </row>
    <row r="76" spans="2:80" x14ac:dyDescent="0.4">
      <c r="T76" s="69"/>
      <c r="U76" s="8"/>
      <c r="V76" s="70"/>
      <c r="W76" s="70"/>
      <c r="X76" s="70"/>
      <c r="Y76" s="70"/>
      <c r="Z76" s="70"/>
      <c r="AA76" s="70"/>
      <c r="AB76" s="70"/>
      <c r="AC76" s="70"/>
      <c r="AD76" s="70"/>
      <c r="AE76" s="70"/>
      <c r="AF76" s="70"/>
      <c r="AG76" s="8"/>
      <c r="AH76" s="70"/>
      <c r="AI76" s="70"/>
      <c r="AJ76" s="70"/>
      <c r="AK76" s="70"/>
      <c r="AL76" s="70"/>
      <c r="AM76" s="70"/>
      <c r="AN76" s="70"/>
      <c r="AO76" s="70"/>
      <c r="AP76" s="70"/>
      <c r="AQ76" s="70"/>
      <c r="AR76" s="70"/>
      <c r="AS76" s="8"/>
      <c r="AT76" s="70"/>
      <c r="AU76" s="70"/>
      <c r="AV76" s="70"/>
      <c r="AW76" s="70"/>
      <c r="AX76" s="70"/>
      <c r="AY76" s="70"/>
      <c r="AZ76" s="70"/>
      <c r="BA76" s="70"/>
      <c r="BB76" s="70"/>
      <c r="BC76" s="70"/>
      <c r="BD76" s="70"/>
      <c r="BE76" s="8"/>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2:80" x14ac:dyDescent="0.4">
      <c r="BQ77" s="72"/>
      <c r="BR77" s="72"/>
      <c r="BS77" s="72"/>
      <c r="BT77" s="72"/>
      <c r="BU77" s="72"/>
      <c r="BV77" s="72"/>
      <c r="BW77" s="72"/>
      <c r="BX77" s="72"/>
      <c r="BY77" s="72"/>
      <c r="BZ77" s="72"/>
      <c r="CA77" s="72"/>
      <c r="CB77" s="72"/>
    </row>
    <row r="78" spans="2:80" ht="11.25" customHeight="1" x14ac:dyDescent="0.4"/>
  </sheetData>
  <sheetProtection sheet="1" objects="1" scenarios="1"/>
  <mergeCells count="14">
    <mergeCell ref="C29:C30"/>
    <mergeCell ref="E29:H29"/>
    <mergeCell ref="I31:K35"/>
    <mergeCell ref="T67:Z67"/>
    <mergeCell ref="H3:K6"/>
    <mergeCell ref="B4:F6"/>
    <mergeCell ref="S16:V16"/>
    <mergeCell ref="M21:R21"/>
    <mergeCell ref="T28:Z28"/>
    <mergeCell ref="M36:R36"/>
    <mergeCell ref="T37:Z37"/>
    <mergeCell ref="M51:R51"/>
    <mergeCell ref="T52:Z52"/>
    <mergeCell ref="H57:K65"/>
  </mergeCells>
  <phoneticPr fontId="3"/>
  <conditionalFormatting sqref="H3:L6">
    <cfRule type="cellIs" dxfId="12" priority="20" operator="equal">
      <formula>"入力OK"</formula>
    </cfRule>
  </conditionalFormatting>
  <conditionalFormatting sqref="E44:G44">
    <cfRule type="cellIs" dxfId="11" priority="18" operator="equal">
      <formula>"対象外"</formula>
    </cfRule>
    <cfRule type="cellIs" dxfId="10" priority="19" operator="equal">
      <formula>"対象"</formula>
    </cfRule>
  </conditionalFormatting>
  <conditionalFormatting sqref="D31:D35">
    <cfRule type="expression" dxfId="9" priority="17">
      <formula>IF(COUNTA($D$31:$D$35)&gt;=1,FALSE,TRUE)</formula>
    </cfRule>
  </conditionalFormatting>
  <conditionalFormatting sqref="D22:D24">
    <cfRule type="cellIs" dxfId="8" priority="14" operator="equal">
      <formula>""</formula>
    </cfRule>
  </conditionalFormatting>
  <conditionalFormatting sqref="D25">
    <cfRule type="cellIs" dxfId="7" priority="12" operator="equal">
      <formula>""</formula>
    </cfRule>
  </conditionalFormatting>
  <conditionalFormatting sqref="E39:G43">
    <cfRule type="cellIs" dxfId="6" priority="10" operator="equal">
      <formula>""</formula>
    </cfRule>
  </conditionalFormatting>
  <conditionalFormatting sqref="E31:G35">
    <cfRule type="cellIs" dxfId="5" priority="9" operator="equal">
      <formula>""</formula>
    </cfRule>
  </conditionalFormatting>
  <conditionalFormatting sqref="E65:G65 E57:G62">
    <cfRule type="expression" dxfId="4" priority="24">
      <formula>IF(E$44="対象",FALSE,TRUE)</formula>
    </cfRule>
  </conditionalFormatting>
  <conditionalFormatting sqref="E65:G65 E56:G62">
    <cfRule type="expression" dxfId="3" priority="25">
      <formula>IF(MAX($E$57:$G$57)=E$57,TRUE,FALSE)</formula>
    </cfRule>
  </conditionalFormatting>
  <conditionalFormatting sqref="H31:H35">
    <cfRule type="cellIs" dxfId="2" priority="3" operator="equal">
      <formula>""</formula>
    </cfRule>
  </conditionalFormatting>
  <conditionalFormatting sqref="E63:G64">
    <cfRule type="expression" dxfId="1" priority="1">
      <formula>IF(E$44="対象",FALSE,TRUE)</formula>
    </cfRule>
  </conditionalFormatting>
  <conditionalFormatting sqref="E63:G64">
    <cfRule type="expression" dxfId="0" priority="2">
      <formula>IF(MAX($E$57:$G$57)=E$57,TRUE,FALSE)</formula>
    </cfRule>
  </conditionalFormatting>
  <dataValidations disablePrompts="1" count="1">
    <dataValidation type="whole" imeMode="off" allowBlank="1" showInputMessage="1" showErrorMessage="1" errorTitle="エラー" error="数値を入力してください。" sqref="D31:H35" xr:uid="{00000000-0002-0000-0300-000000000000}">
      <formula1>-9.99999999999999E+60</formula1>
      <formula2>9.99999999999999E+54</formula2>
    </dataValidation>
  </dataValidations>
  <printOptions horizontalCentered="1"/>
  <pageMargins left="0.23622047244094491" right="0.23622047244094491" top="0.74803149606299213" bottom="0.74803149606299213" header="0.31496062992125984" footer="0.31496062992125984"/>
  <pageSetup paperSize="9" scale="45"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変更履歴</vt:lpstr>
      <vt:lpstr>前提</vt:lpstr>
      <vt:lpstr>判定</vt:lpstr>
      <vt:lpstr>判定_個人白色</vt:lpstr>
      <vt:lpstr>判定!Print_Area</vt:lpstr>
      <vt:lpstr>判定_個人白色!Print_Area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澤村裕人</dc:creator>
  <cp:lastModifiedBy>澤村裕人</cp:lastModifiedBy>
  <cp:lastPrinted>2022-01-25T06:14:59Z</cp:lastPrinted>
  <dcterms:created xsi:type="dcterms:W3CDTF">2022-01-17T00:22:55Z</dcterms:created>
  <dcterms:modified xsi:type="dcterms:W3CDTF">2022-02-22T04:11:08Z</dcterms:modified>
</cp:coreProperties>
</file>